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ttachedToolbars.bin" ContentType="application/vnd.ms-excel.attachedToolbar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ialogsheets/sheet2.xml" ContentType="application/vnd.openxmlformats-officedocument.spreadsheetml.dialogsheet+xml"/>
  <Override PartName="/xl/dialogsheets/sheet3.xml" ContentType="application/vnd.openxmlformats-officedocument.spreadsheetml.dialog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DieseArbeitsmappe"/>
  <bookViews>
    <workbookView xWindow="240" yWindow="75" windowWidth="9720" windowHeight="6735" tabRatio="900"/>
  </bookViews>
  <sheets>
    <sheet name="Kat. I" sheetId="1" r:id="rId1"/>
    <sheet name="Kat. II" sheetId="26" r:id="rId2"/>
    <sheet name="Jan." sheetId="2" r:id="rId3"/>
    <sheet name="Feb." sheetId="3" r:id="rId4"/>
    <sheet name="März" sheetId="4" r:id="rId5"/>
    <sheet name="April" sheetId="5" r:id="rId6"/>
    <sheet name="Mai" sheetId="6" r:id="rId7"/>
    <sheet name="Juni" sheetId="7" r:id="rId8"/>
    <sheet name="Juli" sheetId="8" r:id="rId9"/>
    <sheet name="Aug." sheetId="9" r:id="rId10"/>
    <sheet name="Sept." sheetId="10" r:id="rId11"/>
    <sheet name="Okt." sheetId="11" r:id="rId12"/>
    <sheet name="Nov." sheetId="12" r:id="rId13"/>
    <sheet name="Dez." sheetId="13" r:id="rId14"/>
    <sheet name="Auszug" sheetId="25" r:id="rId15"/>
    <sheet name="Statistik" sheetId="14" r:id="rId16"/>
    <sheet name="Bilanz" sheetId="28" r:id="rId17"/>
    <sheet name="Journal" sheetId="27" r:id="rId18"/>
    <sheet name="Trennung" sheetId="30" r:id="rId19"/>
    <sheet name="Steuerabschluss" sheetId="31" r:id="rId20"/>
    <sheet name="Dialog1" sheetId="20" state="hidden" r:id="rId21"/>
    <sheet name="Dialog2" sheetId="21" state="hidden" r:id="rId22"/>
    <sheet name="Dialog3" sheetId="22" state="hidden" r:id="rId23"/>
  </sheets>
  <definedNames>
    <definedName name="_xlnm._FilterDatabase" localSheetId="5" hidden="1">April!$A$14:$H$16</definedName>
    <definedName name="_xlnm._FilterDatabase" localSheetId="9" hidden="1">Aug.!$A$14:$H$16</definedName>
    <definedName name="_xlnm._FilterDatabase" localSheetId="14" hidden="1">Auszug!$A$14:$H$14</definedName>
    <definedName name="_xlnm._FilterDatabase" localSheetId="13" hidden="1">Dez.!$A$14:$N$64</definedName>
    <definedName name="_xlnm._FilterDatabase" localSheetId="3" hidden="1">Feb.!$A$14:$H$16</definedName>
    <definedName name="_xlnm._FilterDatabase" localSheetId="2" hidden="1">Jan.!$A$14:$N$16</definedName>
    <definedName name="_xlnm._FilterDatabase" localSheetId="8" hidden="1">Juli!$A$14:$H$16</definedName>
    <definedName name="_xlnm._FilterDatabase" localSheetId="7" hidden="1">Juni!$A$14:$H$16</definedName>
    <definedName name="_xlnm._FilterDatabase" localSheetId="6" hidden="1">Mai!$A$14:$H$16</definedName>
    <definedName name="_xlnm._FilterDatabase" localSheetId="4" hidden="1">März!$A$14:$N$34</definedName>
    <definedName name="_xlnm._FilterDatabase" localSheetId="12" hidden="1">Nov.!$A$14:$N$36</definedName>
    <definedName name="_xlnm._FilterDatabase" localSheetId="11" hidden="1">Okt.!$A$14:$N$43</definedName>
    <definedName name="_xlnm._FilterDatabase" localSheetId="10" hidden="1">Sept.!$A$14:$H$16</definedName>
    <definedName name="Dialog1_alle_Kästchen_aktivieren" localSheetId="14">Auszug!Dialog1_alle_Kästchen_aktivieren</definedName>
    <definedName name="Dialog1_alle_Kästchen_aktivieren" localSheetId="21">Dialog2!Dialog1_alle_Kästchen_aktivieren</definedName>
    <definedName name="Dialog1_alle_Kästchen_aktivieren" localSheetId="22">Dialog3!Dialog1_alle_Kästchen_aktivieren</definedName>
    <definedName name="Dialog1_alle_Kästchen_aktivieren" localSheetId="1">'Kat. II'!Dialog1_alle_Kästchen_aktivieren</definedName>
    <definedName name="Dialog1_alle_Kästchen_aktivieren" localSheetId="18">Trennung!Dialog1_alle_Kästchen_aktivieren</definedName>
    <definedName name="Dialog1_alle_Kästchen_aktivieren">Auszug!Dialog1_alle_Kästchen_aktivieren</definedName>
    <definedName name="Dialog1_alle_Kästchen_deaktivieren" localSheetId="14">Auszug!Dialog1_alle_Kästchen_deaktivieren</definedName>
    <definedName name="Dialog1_alle_Kästchen_deaktivieren" localSheetId="21">Dialog2!Dialog1_alle_Kästchen_deaktivieren</definedName>
    <definedName name="Dialog1_alle_Kästchen_deaktivieren" localSheetId="22">Dialog3!Dialog1_alle_Kästchen_deaktivieren</definedName>
    <definedName name="Dialog1_alle_Kästchen_deaktivieren" localSheetId="1">'Kat. II'!Dialog1_alle_Kästchen_deaktivieren</definedName>
    <definedName name="Dialog1_alle_Kästchen_deaktivieren" localSheetId="18">Trennung!Dialog1_alle_Kästchen_deaktivieren</definedName>
    <definedName name="Dialog1_alle_Kästchen_deaktivieren">Auszug!Dialog1_alle_Kästchen_deaktivieren</definedName>
    <definedName name="_xlnm.Print_Area" localSheetId="1">'Kat. II'!$1:$1048576</definedName>
    <definedName name="_xlnm.Print_Area" localSheetId="18">Trennung!$A$1:$AD$371</definedName>
    <definedName name="_xlnm.Print_Titles" localSheetId="17">Journal!$3:$4</definedName>
    <definedName name="Jahr" localSheetId="14">Auszug!$D$2</definedName>
    <definedName name="Jahr">#REF!</definedName>
    <definedName name="Kontoname1" localSheetId="14">Auszug!#REF!</definedName>
    <definedName name="Kontoname1">#REF!</definedName>
    <definedName name="Kontoname2" localSheetId="14">Auszug!#REF!</definedName>
    <definedName name="Kontoname2">#REF!</definedName>
    <definedName name="Monat" localSheetId="14">Auszug!#REF!</definedName>
    <definedName name="Monat">#REF!</definedName>
  </definedNames>
  <calcPr calcId="124519"/>
</workbook>
</file>

<file path=xl/calcChain.xml><?xml version="1.0" encoding="utf-8"?>
<calcChain xmlns="http://schemas.openxmlformats.org/spreadsheetml/2006/main">
  <c r="K22" i="5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I36"/>
  <c r="J36"/>
  <c r="K36"/>
  <c r="L36"/>
  <c r="M36"/>
  <c r="N36"/>
  <c r="I37"/>
  <c r="J37"/>
  <c r="K37"/>
  <c r="L37"/>
  <c r="M37"/>
  <c r="N37"/>
  <c r="I38"/>
  <c r="J38"/>
  <c r="K38"/>
  <c r="L38"/>
  <c r="M38"/>
  <c r="N38"/>
  <c r="I39"/>
  <c r="J39"/>
  <c r="K39"/>
  <c r="L39"/>
  <c r="M39"/>
  <c r="N3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11"/>
  <c r="L16"/>
  <c r="L17"/>
  <c r="L18"/>
  <c r="L19"/>
  <c r="L20"/>
  <c r="K16"/>
  <c r="K17"/>
  <c r="K18"/>
  <c r="K19"/>
  <c r="K20"/>
  <c r="I35"/>
  <c r="J35"/>
  <c r="K35"/>
  <c r="L35"/>
  <c r="M35"/>
  <c r="I34"/>
  <c r="J34"/>
  <c r="K34"/>
  <c r="L34"/>
  <c r="M34"/>
  <c r="I33"/>
  <c r="J33"/>
  <c r="M33"/>
  <c r="I32"/>
  <c r="J32"/>
  <c r="M32"/>
  <c r="I31"/>
  <c r="J31"/>
  <c r="M31"/>
  <c r="K15"/>
  <c r="L15"/>
  <c r="M18"/>
  <c r="M19"/>
  <c r="M20"/>
  <c r="K21"/>
  <c r="L21"/>
  <c r="M21"/>
  <c r="M22"/>
  <c r="M23"/>
  <c r="M24"/>
  <c r="M25"/>
  <c r="M26"/>
  <c r="M27"/>
  <c r="M28"/>
  <c r="M29"/>
  <c r="M30"/>
  <c r="M11"/>
  <c r="I17"/>
  <c r="J17"/>
  <c r="M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M16"/>
  <c r="M15"/>
  <c r="B9"/>
  <c r="B6"/>
  <c r="K1"/>
  <c r="A1"/>
  <c r="J9"/>
  <c r="J16"/>
  <c r="J15"/>
  <c r="I16"/>
  <c r="I15"/>
  <c r="K11"/>
  <c r="G11"/>
  <c r="E11"/>
  <c r="L11"/>
  <c r="K12" i="3"/>
  <c r="K12" i="4" s="1"/>
  <c r="K12" i="5" s="1"/>
  <c r="K12" i="6" s="1"/>
  <c r="K12" i="7" s="1"/>
  <c r="K12" i="8" s="1"/>
  <c r="K12" i="9" s="1"/>
  <c r="K12" i="10" s="1"/>
  <c r="K12" i="11" s="1"/>
  <c r="K12" i="12" s="1"/>
  <c r="K12" i="13" s="1"/>
  <c r="L14" i="3"/>
  <c r="L14" i="4"/>
  <c r="L14" i="5" s="1"/>
  <c r="L14" i="6" s="1"/>
  <c r="L14" i="7" s="1"/>
  <c r="L14" i="8" s="1"/>
  <c r="L14" i="9" s="1"/>
  <c r="L14" i="10" s="1"/>
  <c r="L14" i="11" s="1"/>
  <c r="L14" i="12" s="1"/>
  <c r="L14" i="13" s="1"/>
  <c r="K14" i="3"/>
  <c r="K14" i="4" s="1"/>
  <c r="K14" i="5" s="1"/>
  <c r="K14" i="6" s="1"/>
  <c r="K14" i="7" s="1"/>
  <c r="K14" i="8" s="1"/>
  <c r="K14" i="9" s="1"/>
  <c r="K14" i="10" s="1"/>
  <c r="K14" i="11" s="1"/>
  <c r="K14" i="12" s="1"/>
  <c r="K14" i="13" s="1"/>
  <c r="L15" i="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3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2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9"/>
  <c r="K15" i="4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3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2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9"/>
  <c r="K7"/>
  <c r="K5" i="3" s="1"/>
  <c r="K7" s="1"/>
  <c r="A6" i="2"/>
  <c r="A6" i="5" s="1"/>
  <c r="N15" i="4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3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2"/>
  <c r="N16"/>
  <c r="N17"/>
  <c r="N18"/>
  <c r="N19"/>
  <c r="N20"/>
  <c r="N21"/>
  <c r="N22"/>
  <c r="N23"/>
  <c r="N24"/>
  <c r="N25"/>
  <c r="N26"/>
  <c r="N27"/>
  <c r="N28"/>
  <c r="N29"/>
  <c r="N30"/>
  <c r="N31"/>
  <c r="N7" s="1"/>
  <c r="N5" i="3" s="1"/>
  <c r="N7" s="1"/>
  <c r="N5" i="4" s="1"/>
  <c r="N7" s="1"/>
  <c r="N5" i="5" s="1"/>
  <c r="N7" s="1"/>
  <c r="N5" i="6" s="1"/>
  <c r="N7" s="1"/>
  <c r="N5" i="7" s="1"/>
  <c r="N7" s="1"/>
  <c r="N5" i="8" s="1"/>
  <c r="N7" s="1"/>
  <c r="N5" i="9" s="1"/>
  <c r="N7" s="1"/>
  <c r="N5" i="10" s="1"/>
  <c r="N7" s="1"/>
  <c r="N5" i="11" s="1"/>
  <c r="N7" s="1"/>
  <c r="N5" i="12" s="1"/>
  <c r="N7" s="1"/>
  <c r="N5" i="13" s="1"/>
  <c r="N7" s="1"/>
  <c r="N32" i="2"/>
  <c r="N33"/>
  <c r="N34"/>
  <c r="N35"/>
  <c r="N36"/>
  <c r="N37"/>
  <c r="N38"/>
  <c r="N39"/>
  <c r="M15" i="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3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2"/>
  <c r="M16"/>
  <c r="M17"/>
  <c r="M18"/>
  <c r="M19"/>
  <c r="M20"/>
  <c r="M21"/>
  <c r="M22"/>
  <c r="M23"/>
  <c r="M7" s="1"/>
  <c r="M5" i="3" s="1"/>
  <c r="M7" s="1"/>
  <c r="M5" i="4" s="1"/>
  <c r="M7" s="1"/>
  <c r="M5" i="5" s="1"/>
  <c r="M7" s="1"/>
  <c r="M5" i="6" s="1"/>
  <c r="M7" s="1"/>
  <c r="M5" i="7" s="1"/>
  <c r="M7" s="1"/>
  <c r="M5" i="8" s="1"/>
  <c r="M7" s="1"/>
  <c r="M5" i="9" s="1"/>
  <c r="M7" s="1"/>
  <c r="M5" i="10" s="1"/>
  <c r="M7" s="1"/>
  <c r="M5" i="11" s="1"/>
  <c r="M7" s="1"/>
  <c r="M5" i="12" s="1"/>
  <c r="M7" s="1"/>
  <c r="M5" i="13" s="1"/>
  <c r="M7" s="1"/>
  <c r="M24" i="2"/>
  <c r="M25"/>
  <c r="M26"/>
  <c r="M27"/>
  <c r="M28"/>
  <c r="M29"/>
  <c r="M30"/>
  <c r="M31"/>
  <c r="M32"/>
  <c r="M33"/>
  <c r="M34"/>
  <c r="M35"/>
  <c r="M36"/>
  <c r="M37"/>
  <c r="M38"/>
  <c r="M39"/>
  <c r="L12" i="3"/>
  <c r="L12" i="4" s="1"/>
  <c r="L12" i="5" s="1"/>
  <c r="L12" i="6" s="1"/>
  <c r="L12" i="7" s="1"/>
  <c r="L12" i="8" s="1"/>
  <c r="L12" i="9" s="1"/>
  <c r="L12" i="10" s="1"/>
  <c r="L12" i="11" s="1"/>
  <c r="L12" i="12" s="1"/>
  <c r="L12" i="13" s="1"/>
  <c r="A34" i="30" s="1"/>
  <c r="N12" i="3"/>
  <c r="N12" i="4" s="1"/>
  <c r="N12" i="5" s="1"/>
  <c r="N12" i="6" s="1"/>
  <c r="N12" i="7" s="1"/>
  <c r="N12" i="8" s="1"/>
  <c r="N12" i="9" s="1"/>
  <c r="N12" i="10" s="1"/>
  <c r="N12" i="11" s="1"/>
  <c r="N12" i="12" s="1"/>
  <c r="N12" i="13" s="1"/>
  <c r="M12" i="3"/>
  <c r="M12" i="4" s="1"/>
  <c r="M12" i="5" s="1"/>
  <c r="M12" i="6" s="1"/>
  <c r="M12" i="7" s="1"/>
  <c r="M12" i="8" s="1"/>
  <c r="M12" i="9" s="1"/>
  <c r="M12" i="10" s="1"/>
  <c r="M12" i="11" s="1"/>
  <c r="M12" i="12" s="1"/>
  <c r="M12" i="13" s="1"/>
  <c r="N14" i="3"/>
  <c r="N14" i="4" s="1"/>
  <c r="N14" i="5" s="1"/>
  <c r="N14" i="6" s="1"/>
  <c r="N14" i="7" s="1"/>
  <c r="N14" i="8" s="1"/>
  <c r="N14" i="9" s="1"/>
  <c r="N14" i="10" s="1"/>
  <c r="N14" i="11" s="1"/>
  <c r="N14" i="12" s="1"/>
  <c r="N14" i="13" s="1"/>
  <c r="M14" i="3"/>
  <c r="M14" i="4" s="1"/>
  <c r="M14" i="5" s="1"/>
  <c r="M14" i="6" s="1"/>
  <c r="M14" i="7" s="1"/>
  <c r="M14" i="8" s="1"/>
  <c r="M14" i="9" s="1"/>
  <c r="M14" i="10" s="1"/>
  <c r="M14" i="11" s="1"/>
  <c r="M14" i="12" s="1"/>
  <c r="M14" i="13" s="1"/>
  <c r="I36" i="9"/>
  <c r="J36"/>
  <c r="K36"/>
  <c r="L36"/>
  <c r="M36"/>
  <c r="N36"/>
  <c r="I37"/>
  <c r="J37"/>
  <c r="K37"/>
  <c r="L37"/>
  <c r="M37"/>
  <c r="N37"/>
  <c r="I38"/>
  <c r="J38"/>
  <c r="K38"/>
  <c r="L38"/>
  <c r="M38"/>
  <c r="N38"/>
  <c r="I39"/>
  <c r="J39"/>
  <c r="K39"/>
  <c r="L39"/>
  <c r="M39"/>
  <c r="N39"/>
  <c r="K17"/>
  <c r="L17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11"/>
  <c r="I35"/>
  <c r="J35"/>
  <c r="K35"/>
  <c r="L35"/>
  <c r="M35"/>
  <c r="I34"/>
  <c r="J34"/>
  <c r="K34"/>
  <c r="L34"/>
  <c r="M34"/>
  <c r="I33"/>
  <c r="J33"/>
  <c r="K33"/>
  <c r="L33"/>
  <c r="M33"/>
  <c r="I32"/>
  <c r="J32"/>
  <c r="K32"/>
  <c r="L32"/>
  <c r="M32"/>
  <c r="I31"/>
  <c r="J31"/>
  <c r="K31"/>
  <c r="L31"/>
  <c r="M31"/>
  <c r="K26"/>
  <c r="L26"/>
  <c r="K27"/>
  <c r="L27"/>
  <c r="K28"/>
  <c r="L28"/>
  <c r="K18"/>
  <c r="L18"/>
  <c r="K19"/>
  <c r="L19"/>
  <c r="K20"/>
  <c r="L20"/>
  <c r="L11"/>
  <c r="M11"/>
  <c r="I17"/>
  <c r="J17"/>
  <c r="M17"/>
  <c r="I18"/>
  <c r="J18"/>
  <c r="M18"/>
  <c r="I19"/>
  <c r="J19"/>
  <c r="M19"/>
  <c r="I20"/>
  <c r="J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M26"/>
  <c r="I27"/>
  <c r="J27"/>
  <c r="M27"/>
  <c r="I28"/>
  <c r="J28"/>
  <c r="M28"/>
  <c r="I29"/>
  <c r="J29"/>
  <c r="K29"/>
  <c r="L29"/>
  <c r="M29"/>
  <c r="I30"/>
  <c r="J30"/>
  <c r="K30"/>
  <c r="L30"/>
  <c r="M30"/>
  <c r="M16"/>
  <c r="L16"/>
  <c r="K16"/>
  <c r="M15"/>
  <c r="L15"/>
  <c r="K15"/>
  <c r="B9"/>
  <c r="B6"/>
  <c r="A1"/>
  <c r="K1"/>
  <c r="J9"/>
  <c r="J16"/>
  <c r="J15"/>
  <c r="I16"/>
  <c r="I15"/>
  <c r="K11"/>
  <c r="G11"/>
  <c r="E11"/>
  <c r="L15" i="8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7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15" i="8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7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6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A6" i="9"/>
  <c r="M15" i="8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7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6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N15" i="8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7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6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C31" i="28"/>
  <c r="D31"/>
  <c r="C5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D33"/>
  <c r="C33"/>
  <c r="D32"/>
  <c r="C32"/>
  <c r="D30"/>
  <c r="C30"/>
  <c r="D29"/>
  <c r="C29"/>
  <c r="D28"/>
  <c r="C28"/>
  <c r="D27"/>
  <c r="C27"/>
  <c r="D26"/>
  <c r="A27" s="1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A6" s="1"/>
  <c r="C1"/>
  <c r="D34"/>
  <c r="C34"/>
  <c r="F6"/>
  <c r="I36" i="13"/>
  <c r="J36"/>
  <c r="K36"/>
  <c r="L36"/>
  <c r="M36"/>
  <c r="N36"/>
  <c r="I37"/>
  <c r="J37"/>
  <c r="K37"/>
  <c r="L37"/>
  <c r="M37"/>
  <c r="N37"/>
  <c r="I38"/>
  <c r="J38"/>
  <c r="K38"/>
  <c r="L38"/>
  <c r="M38"/>
  <c r="N38"/>
  <c r="I39"/>
  <c r="J39"/>
  <c r="K39"/>
  <c r="L39"/>
  <c r="M39"/>
  <c r="N3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11"/>
  <c r="I35"/>
  <c r="J35"/>
  <c r="K35"/>
  <c r="L35"/>
  <c r="M35"/>
  <c r="I34"/>
  <c r="J34"/>
  <c r="K34"/>
  <c r="L34"/>
  <c r="M34"/>
  <c r="I33"/>
  <c r="J33"/>
  <c r="K33"/>
  <c r="L33"/>
  <c r="M33"/>
  <c r="I32"/>
  <c r="J32"/>
  <c r="K32"/>
  <c r="L32"/>
  <c r="M32"/>
  <c r="I31"/>
  <c r="J31"/>
  <c r="K31"/>
  <c r="L31"/>
  <c r="M31"/>
  <c r="K26"/>
  <c r="L26"/>
  <c r="M26"/>
  <c r="K27"/>
  <c r="L27"/>
  <c r="M27"/>
  <c r="K28"/>
  <c r="L28"/>
  <c r="M28"/>
  <c r="K29"/>
  <c r="L29"/>
  <c r="M29"/>
  <c r="K30"/>
  <c r="L30"/>
  <c r="M30"/>
  <c r="L11"/>
  <c r="M11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I27"/>
  <c r="J27"/>
  <c r="I28"/>
  <c r="J28"/>
  <c r="I29"/>
  <c r="J29"/>
  <c r="I30"/>
  <c r="J30"/>
  <c r="B9"/>
  <c r="B6"/>
  <c r="A1"/>
  <c r="K1"/>
  <c r="K15"/>
  <c r="K16"/>
  <c r="L15"/>
  <c r="L16"/>
  <c r="M15"/>
  <c r="M16"/>
  <c r="J9"/>
  <c r="J16"/>
  <c r="J15"/>
  <c r="I16"/>
  <c r="I15"/>
  <c r="K11"/>
  <c r="G11"/>
  <c r="E11"/>
  <c r="K15" i="12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1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5" i="10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L15" i="12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11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5" i="10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A6" i="13"/>
  <c r="N15" i="12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11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5" i="10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M15" i="12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1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5" i="10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I36" i="3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I30"/>
  <c r="J30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B9"/>
  <c r="B6"/>
  <c r="A1"/>
  <c r="K1"/>
  <c r="J9"/>
  <c r="J16"/>
  <c r="J15"/>
  <c r="I16"/>
  <c r="I15"/>
  <c r="K11"/>
  <c r="G11"/>
  <c r="E11"/>
  <c r="A6"/>
  <c r="I36" i="2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6"/>
  <c r="B9"/>
  <c r="K1"/>
  <c r="A1"/>
  <c r="J16"/>
  <c r="J15"/>
  <c r="I16"/>
  <c r="I15"/>
  <c r="K11"/>
  <c r="G11"/>
  <c r="E11"/>
  <c r="E3" i="27"/>
  <c r="D4"/>
  <c r="H36"/>
  <c r="G36"/>
  <c r="F36"/>
  <c r="E36"/>
  <c r="D36"/>
  <c r="A1"/>
  <c r="I36" i="8"/>
  <c r="J36"/>
  <c r="I37"/>
  <c r="J37"/>
  <c r="I38"/>
  <c r="J38"/>
  <c r="I39"/>
  <c r="J39"/>
  <c r="N11"/>
  <c r="I35"/>
  <c r="I34"/>
  <c r="J35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I39" i="7"/>
  <c r="J39"/>
  <c r="I38"/>
  <c r="J38"/>
  <c r="I36"/>
  <c r="J36"/>
  <c r="I37"/>
  <c r="J37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H668" i="1"/>
  <c r="F668"/>
  <c r="H669"/>
  <c r="F669"/>
  <c r="H670"/>
  <c r="F670"/>
  <c r="H671"/>
  <c r="I671" s="1"/>
  <c r="H672"/>
  <c r="I672" s="1"/>
  <c r="H673"/>
  <c r="I673" s="1"/>
  <c r="H674"/>
  <c r="I674" s="1"/>
  <c r="H675"/>
  <c r="I675" s="1"/>
  <c r="H676"/>
  <c r="I676" s="1"/>
  <c r="H677"/>
  <c r="I677" s="1"/>
  <c r="H678"/>
  <c r="I678" s="1"/>
  <c r="H679"/>
  <c r="I679" s="1"/>
  <c r="H680"/>
  <c r="I680" s="1"/>
  <c r="H681"/>
  <c r="I681" s="1"/>
  <c r="H682"/>
  <c r="I682" s="1"/>
  <c r="H683"/>
  <c r="I683" s="1"/>
  <c r="H684"/>
  <c r="I684" s="1"/>
  <c r="H685"/>
  <c r="I685" s="1"/>
  <c r="H686"/>
  <c r="I686" s="1"/>
  <c r="H687"/>
  <c r="I687" s="1"/>
  <c r="H688"/>
  <c r="I688" s="1"/>
  <c r="H689"/>
  <c r="I689" s="1"/>
  <c r="H690"/>
  <c r="I690" s="1"/>
  <c r="H691"/>
  <c r="I691" s="1"/>
  <c r="H692"/>
  <c r="F692"/>
  <c r="H693"/>
  <c r="F693"/>
  <c r="H694"/>
  <c r="F694"/>
  <c r="H695"/>
  <c r="F695"/>
  <c r="H696"/>
  <c r="F696"/>
  <c r="H697"/>
  <c r="F697"/>
  <c r="H698"/>
  <c r="F698"/>
  <c r="H699"/>
  <c r="F699"/>
  <c r="H700"/>
  <c r="F700"/>
  <c r="H701"/>
  <c r="F701"/>
  <c r="H702"/>
  <c r="F702"/>
  <c r="H703"/>
  <c r="F703"/>
  <c r="H704"/>
  <c r="F704"/>
  <c r="H705"/>
  <c r="I705" s="1"/>
  <c r="H706"/>
  <c r="F706"/>
  <c r="H707"/>
  <c r="F707"/>
  <c r="H708"/>
  <c r="I708" s="1"/>
  <c r="H709"/>
  <c r="I709" s="1"/>
  <c r="H710"/>
  <c r="F710"/>
  <c r="H711"/>
  <c r="F711"/>
  <c r="H712"/>
  <c r="F712"/>
  <c r="H713"/>
  <c r="F713"/>
  <c r="H714"/>
  <c r="F714"/>
  <c r="H715"/>
  <c r="F715"/>
  <c r="H716"/>
  <c r="F716"/>
  <c r="H717"/>
  <c r="F717"/>
  <c r="C668"/>
  <c r="A668"/>
  <c r="C669"/>
  <c r="D669" s="1"/>
  <c r="C670"/>
  <c r="D670" s="1"/>
  <c r="C671"/>
  <c r="D671" s="1"/>
  <c r="C672"/>
  <c r="D672" s="1"/>
  <c r="C673"/>
  <c r="D673" s="1"/>
  <c r="C674"/>
  <c r="D674" s="1"/>
  <c r="C675"/>
  <c r="D675" s="1"/>
  <c r="C676"/>
  <c r="D676" s="1"/>
  <c r="C677"/>
  <c r="D677" s="1"/>
  <c r="C678"/>
  <c r="D678" s="1"/>
  <c r="C679"/>
  <c r="D679" s="1"/>
  <c r="C680"/>
  <c r="D680" s="1"/>
  <c r="C681"/>
  <c r="D681" s="1"/>
  <c r="C682"/>
  <c r="D682" s="1"/>
  <c r="C683"/>
  <c r="D683" s="1"/>
  <c r="C684"/>
  <c r="D684" s="1"/>
  <c r="C685"/>
  <c r="D685" s="1"/>
  <c r="C686"/>
  <c r="D686" s="1"/>
  <c r="C687"/>
  <c r="D687" s="1"/>
  <c r="C688"/>
  <c r="D688" s="1"/>
  <c r="C689"/>
  <c r="D689" s="1"/>
  <c r="C690"/>
  <c r="D690" s="1"/>
  <c r="C691"/>
  <c r="D691" s="1"/>
  <c r="C692"/>
  <c r="A692"/>
  <c r="C693"/>
  <c r="D693"/>
  <c r="C694"/>
  <c r="D694"/>
  <c r="C695"/>
  <c r="D695"/>
  <c r="C696"/>
  <c r="D696"/>
  <c r="C697"/>
  <c r="D697"/>
  <c r="C698"/>
  <c r="D698"/>
  <c r="C699"/>
  <c r="A699"/>
  <c r="C700"/>
  <c r="D700" s="1"/>
  <c r="C701"/>
  <c r="D701" s="1"/>
  <c r="C702"/>
  <c r="D702" s="1"/>
  <c r="C703"/>
  <c r="D703" s="1"/>
  <c r="C704"/>
  <c r="D704" s="1"/>
  <c r="C705"/>
  <c r="D705" s="1"/>
  <c r="C706"/>
  <c r="D706" s="1"/>
  <c r="C707"/>
  <c r="D707" s="1"/>
  <c r="C708"/>
  <c r="D708" s="1"/>
  <c r="C709"/>
  <c r="D709" s="1"/>
  <c r="C710"/>
  <c r="D710" s="1"/>
  <c r="C711"/>
  <c r="D711" s="1"/>
  <c r="C712"/>
  <c r="D712" s="1"/>
  <c r="C713"/>
  <c r="D713" s="1"/>
  <c r="C714"/>
  <c r="A714"/>
  <c r="C715"/>
  <c r="D715"/>
  <c r="C716"/>
  <c r="D716"/>
  <c r="C717"/>
  <c r="A717"/>
  <c r="H667"/>
  <c r="F667"/>
  <c r="C667"/>
  <c r="A667"/>
  <c r="H608"/>
  <c r="F608"/>
  <c r="H609"/>
  <c r="F609"/>
  <c r="H610"/>
  <c r="F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F632"/>
  <c r="H633"/>
  <c r="F633"/>
  <c r="H634"/>
  <c r="F634"/>
  <c r="H635"/>
  <c r="F635"/>
  <c r="H636"/>
  <c r="F636"/>
  <c r="H637"/>
  <c r="F637"/>
  <c r="H638"/>
  <c r="F638"/>
  <c r="H639"/>
  <c r="F639"/>
  <c r="H640"/>
  <c r="F640"/>
  <c r="H641"/>
  <c r="F641"/>
  <c r="H642"/>
  <c r="F642"/>
  <c r="H643"/>
  <c r="F643"/>
  <c r="H644"/>
  <c r="F644"/>
  <c r="H645"/>
  <c r="I645" s="1"/>
  <c r="H646"/>
  <c r="F646"/>
  <c r="H647"/>
  <c r="F647"/>
  <c r="H648"/>
  <c r="I648" s="1"/>
  <c r="H649"/>
  <c r="I649" s="1"/>
  <c r="H650"/>
  <c r="F650"/>
  <c r="H651"/>
  <c r="F651"/>
  <c r="H652"/>
  <c r="F652"/>
  <c r="H653"/>
  <c r="F653"/>
  <c r="H654"/>
  <c r="F654"/>
  <c r="H655"/>
  <c r="F655"/>
  <c r="H656"/>
  <c r="F656"/>
  <c r="H657"/>
  <c r="F657"/>
  <c r="C608"/>
  <c r="A608"/>
  <c r="C609"/>
  <c r="D609" s="1"/>
  <c r="C610"/>
  <c r="D610" s="1"/>
  <c r="C611"/>
  <c r="D611" s="1"/>
  <c r="C612"/>
  <c r="D612" s="1"/>
  <c r="C613"/>
  <c r="D613" s="1"/>
  <c r="C614"/>
  <c r="D614" s="1"/>
  <c r="C615"/>
  <c r="D615" s="1"/>
  <c r="C616"/>
  <c r="D616" s="1"/>
  <c r="C617"/>
  <c r="D617" s="1"/>
  <c r="C618"/>
  <c r="D618" s="1"/>
  <c r="C619"/>
  <c r="D619" s="1"/>
  <c r="C620"/>
  <c r="D620" s="1"/>
  <c r="C621"/>
  <c r="D621" s="1"/>
  <c r="C622"/>
  <c r="D622" s="1"/>
  <c r="C623"/>
  <c r="D623" s="1"/>
  <c r="C624"/>
  <c r="D624" s="1"/>
  <c r="C625"/>
  <c r="D625" s="1"/>
  <c r="C626"/>
  <c r="D626" s="1"/>
  <c r="C627"/>
  <c r="D627" s="1"/>
  <c r="C628"/>
  <c r="D628" s="1"/>
  <c r="C629"/>
  <c r="D629" s="1"/>
  <c r="C630"/>
  <c r="D630" s="1"/>
  <c r="C631"/>
  <c r="D631" s="1"/>
  <c r="C632"/>
  <c r="A632"/>
  <c r="C633"/>
  <c r="D633" s="1"/>
  <c r="C634"/>
  <c r="D634" s="1"/>
  <c r="C635"/>
  <c r="D635" s="1"/>
  <c r="C636"/>
  <c r="D636" s="1"/>
  <c r="C637"/>
  <c r="D637" s="1"/>
  <c r="C638"/>
  <c r="D638" s="1"/>
  <c r="C639"/>
  <c r="A639"/>
  <c r="C640"/>
  <c r="D640" s="1"/>
  <c r="C641"/>
  <c r="D641" s="1"/>
  <c r="C642"/>
  <c r="D642" s="1"/>
  <c r="C643"/>
  <c r="D643" s="1"/>
  <c r="C644"/>
  <c r="D644" s="1"/>
  <c r="C645"/>
  <c r="D645" s="1"/>
  <c r="C646"/>
  <c r="D646" s="1"/>
  <c r="C647"/>
  <c r="D647" s="1"/>
  <c r="C648"/>
  <c r="D648" s="1"/>
  <c r="C649"/>
  <c r="D649" s="1"/>
  <c r="C650"/>
  <c r="D650" s="1"/>
  <c r="C651"/>
  <c r="D651" s="1"/>
  <c r="C652"/>
  <c r="D652" s="1"/>
  <c r="C653"/>
  <c r="D653" s="1"/>
  <c r="C654"/>
  <c r="A654"/>
  <c r="C655"/>
  <c r="D655" s="1"/>
  <c r="C656"/>
  <c r="D656" s="1"/>
  <c r="C657"/>
  <c r="A657"/>
  <c r="H607"/>
  <c r="F607"/>
  <c r="C607"/>
  <c r="A607"/>
  <c r="H548"/>
  <c r="F548"/>
  <c r="H549"/>
  <c r="F549"/>
  <c r="H550"/>
  <c r="F550"/>
  <c r="H551"/>
  <c r="I551" s="1"/>
  <c r="H552"/>
  <c r="I552" s="1"/>
  <c r="H553"/>
  <c r="I553" s="1"/>
  <c r="H554"/>
  <c r="I554" s="1"/>
  <c r="H555"/>
  <c r="I555" s="1"/>
  <c r="H556"/>
  <c r="I556" s="1"/>
  <c r="H557"/>
  <c r="I557" s="1"/>
  <c r="H558"/>
  <c r="I558" s="1"/>
  <c r="H559"/>
  <c r="I559" s="1"/>
  <c r="H560"/>
  <c r="I560" s="1"/>
  <c r="H561"/>
  <c r="I561" s="1"/>
  <c r="H562"/>
  <c r="I562" s="1"/>
  <c r="H563"/>
  <c r="I563" s="1"/>
  <c r="H564"/>
  <c r="I564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F572"/>
  <c r="H573"/>
  <c r="F573"/>
  <c r="H574"/>
  <c r="F574"/>
  <c r="H575"/>
  <c r="F575"/>
  <c r="H576"/>
  <c r="F576"/>
  <c r="H577"/>
  <c r="F577"/>
  <c r="H578"/>
  <c r="F578"/>
  <c r="H579"/>
  <c r="F579"/>
  <c r="H580"/>
  <c r="F580"/>
  <c r="H581"/>
  <c r="F581"/>
  <c r="H582"/>
  <c r="F582"/>
  <c r="H583"/>
  <c r="F583"/>
  <c r="H584"/>
  <c r="F584"/>
  <c r="H585"/>
  <c r="I585"/>
  <c r="H586"/>
  <c r="F586"/>
  <c r="H587"/>
  <c r="F587"/>
  <c r="H588"/>
  <c r="I588"/>
  <c r="H589"/>
  <c r="I589"/>
  <c r="H590"/>
  <c r="F590"/>
  <c r="H591"/>
  <c r="F591"/>
  <c r="H592"/>
  <c r="F592"/>
  <c r="H593"/>
  <c r="F593"/>
  <c r="H594"/>
  <c r="F594"/>
  <c r="H595"/>
  <c r="F595"/>
  <c r="H596"/>
  <c r="F596"/>
  <c r="H597"/>
  <c r="F597"/>
  <c r="C548"/>
  <c r="A548"/>
  <c r="C549"/>
  <c r="D549" s="1"/>
  <c r="C550"/>
  <c r="D550" s="1"/>
  <c r="C551"/>
  <c r="D551" s="1"/>
  <c r="C552"/>
  <c r="D552" s="1"/>
  <c r="C553"/>
  <c r="D553" s="1"/>
  <c r="C554"/>
  <c r="D554" s="1"/>
  <c r="C555"/>
  <c r="D555" s="1"/>
  <c r="C556"/>
  <c r="D556" s="1"/>
  <c r="C557"/>
  <c r="D557" s="1"/>
  <c r="C558"/>
  <c r="D558" s="1"/>
  <c r="C559"/>
  <c r="D559" s="1"/>
  <c r="C560"/>
  <c r="D560" s="1"/>
  <c r="C561"/>
  <c r="D561" s="1"/>
  <c r="C562"/>
  <c r="D562" s="1"/>
  <c r="C563"/>
  <c r="D563" s="1"/>
  <c r="C564"/>
  <c r="D564" s="1"/>
  <c r="C565"/>
  <c r="D565" s="1"/>
  <c r="C566"/>
  <c r="D566" s="1"/>
  <c r="C567"/>
  <c r="D567" s="1"/>
  <c r="C568"/>
  <c r="D568" s="1"/>
  <c r="C569"/>
  <c r="D569" s="1"/>
  <c r="C570"/>
  <c r="D570" s="1"/>
  <c r="C571"/>
  <c r="D571" s="1"/>
  <c r="C572"/>
  <c r="A572"/>
  <c r="C573"/>
  <c r="D573" s="1"/>
  <c r="C574"/>
  <c r="D574" s="1"/>
  <c r="C575"/>
  <c r="D575" s="1"/>
  <c r="C576"/>
  <c r="D576" s="1"/>
  <c r="C577"/>
  <c r="D577" s="1"/>
  <c r="C578"/>
  <c r="D578" s="1"/>
  <c r="C579"/>
  <c r="A579"/>
  <c r="C580"/>
  <c r="D580" s="1"/>
  <c r="C581"/>
  <c r="D581" s="1"/>
  <c r="C582"/>
  <c r="D582" s="1"/>
  <c r="C583"/>
  <c r="D583" s="1"/>
  <c r="C584"/>
  <c r="D584" s="1"/>
  <c r="C585"/>
  <c r="D585" s="1"/>
  <c r="C586"/>
  <c r="D586" s="1"/>
  <c r="C587"/>
  <c r="D587" s="1"/>
  <c r="C588"/>
  <c r="D588" s="1"/>
  <c r="C589"/>
  <c r="D589" s="1"/>
  <c r="C590"/>
  <c r="D590" s="1"/>
  <c r="C591"/>
  <c r="D591" s="1"/>
  <c r="C592"/>
  <c r="D592" s="1"/>
  <c r="C593"/>
  <c r="D593" s="1"/>
  <c r="C594"/>
  <c r="A594"/>
  <c r="C595"/>
  <c r="D595" s="1"/>
  <c r="C596"/>
  <c r="D596" s="1"/>
  <c r="C597"/>
  <c r="A597"/>
  <c r="H547"/>
  <c r="F547"/>
  <c r="C547"/>
  <c r="A547"/>
  <c r="H488"/>
  <c r="F488"/>
  <c r="H489"/>
  <c r="F489"/>
  <c r="H490"/>
  <c r="F490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11"/>
  <c r="I511" s="1"/>
  <c r="H512"/>
  <c r="F512"/>
  <c r="H513"/>
  <c r="F513"/>
  <c r="H514"/>
  <c r="F514"/>
  <c r="H515"/>
  <c r="F515"/>
  <c r="H516"/>
  <c r="F516"/>
  <c r="H517"/>
  <c r="F517"/>
  <c r="H518"/>
  <c r="F518"/>
  <c r="H519"/>
  <c r="F519"/>
  <c r="H520"/>
  <c r="F520"/>
  <c r="H521"/>
  <c r="F521"/>
  <c r="H522"/>
  <c r="F522"/>
  <c r="H523"/>
  <c r="F523"/>
  <c r="H524"/>
  <c r="F524"/>
  <c r="H525"/>
  <c r="I525" s="1"/>
  <c r="H526"/>
  <c r="F526"/>
  <c r="H527"/>
  <c r="F527"/>
  <c r="H528"/>
  <c r="I528" s="1"/>
  <c r="H529"/>
  <c r="I529" s="1"/>
  <c r="H530"/>
  <c r="F530"/>
  <c r="H531"/>
  <c r="F531"/>
  <c r="H532"/>
  <c r="F532"/>
  <c r="H533"/>
  <c r="F533"/>
  <c r="H534"/>
  <c r="F534"/>
  <c r="H535"/>
  <c r="F535"/>
  <c r="H536"/>
  <c r="F536"/>
  <c r="H537"/>
  <c r="F537"/>
  <c r="C488"/>
  <c r="A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A512"/>
  <c r="C513"/>
  <c r="D513" s="1"/>
  <c r="C514"/>
  <c r="D514" s="1"/>
  <c r="C515"/>
  <c r="D515" s="1"/>
  <c r="C516"/>
  <c r="D516" s="1"/>
  <c r="C518"/>
  <c r="D518" s="1"/>
  <c r="C519"/>
  <c r="A519"/>
  <c r="C520"/>
  <c r="D520" s="1"/>
  <c r="C521"/>
  <c r="D521" s="1"/>
  <c r="C522"/>
  <c r="D522" s="1"/>
  <c r="C523"/>
  <c r="D523" s="1"/>
  <c r="C524"/>
  <c r="D524" s="1"/>
  <c r="C525"/>
  <c r="D525" s="1"/>
  <c r="C526"/>
  <c r="D526" s="1"/>
  <c r="C527"/>
  <c r="D527" s="1"/>
  <c r="C528"/>
  <c r="D528" s="1"/>
  <c r="C529"/>
  <c r="D529" s="1"/>
  <c r="C530"/>
  <c r="D530" s="1"/>
  <c r="C531"/>
  <c r="D531" s="1"/>
  <c r="C532"/>
  <c r="D532" s="1"/>
  <c r="C533"/>
  <c r="D533" s="1"/>
  <c r="C534"/>
  <c r="A534"/>
  <c r="C535"/>
  <c r="D535" s="1"/>
  <c r="C536"/>
  <c r="D536" s="1"/>
  <c r="C537"/>
  <c r="A537"/>
  <c r="H487"/>
  <c r="F487"/>
  <c r="C487"/>
  <c r="A487"/>
  <c r="H428"/>
  <c r="F428"/>
  <c r="H429"/>
  <c r="F429"/>
  <c r="H430"/>
  <c r="F430"/>
  <c r="H431"/>
  <c r="I431" s="1"/>
  <c r="H432"/>
  <c r="I432" s="1"/>
  <c r="H433"/>
  <c r="I433" s="1"/>
  <c r="H434"/>
  <c r="I434" s="1"/>
  <c r="H435"/>
  <c r="I435" s="1"/>
  <c r="H436"/>
  <c r="I436" s="1"/>
  <c r="H437"/>
  <c r="I437" s="1"/>
  <c r="H438"/>
  <c r="I438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50"/>
  <c r="I450" s="1"/>
  <c r="H451"/>
  <c r="I451" s="1"/>
  <c r="H452"/>
  <c r="F452"/>
  <c r="H453"/>
  <c r="F453"/>
  <c r="H454"/>
  <c r="F454"/>
  <c r="H455"/>
  <c r="F455"/>
  <c r="H456"/>
  <c r="F456"/>
  <c r="H457"/>
  <c r="F457"/>
  <c r="H458"/>
  <c r="F458"/>
  <c r="H459"/>
  <c r="F459"/>
  <c r="H460"/>
  <c r="F460"/>
  <c r="H461"/>
  <c r="F461"/>
  <c r="H462"/>
  <c r="F462"/>
  <c r="H463"/>
  <c r="F463"/>
  <c r="H464"/>
  <c r="F464"/>
  <c r="H465"/>
  <c r="I465" s="1"/>
  <c r="H466"/>
  <c r="F466"/>
  <c r="H467"/>
  <c r="F467"/>
  <c r="H468"/>
  <c r="I468" s="1"/>
  <c r="H469"/>
  <c r="I469" s="1"/>
  <c r="H470"/>
  <c r="F470"/>
  <c r="H471"/>
  <c r="F471"/>
  <c r="H472"/>
  <c r="F472"/>
  <c r="H473"/>
  <c r="F473"/>
  <c r="H474"/>
  <c r="F474"/>
  <c r="H475"/>
  <c r="F475"/>
  <c r="H476"/>
  <c r="F476"/>
  <c r="H477"/>
  <c r="F477"/>
  <c r="C428"/>
  <c r="A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A452"/>
  <c r="C453"/>
  <c r="D453" s="1"/>
  <c r="C454"/>
  <c r="D454" s="1"/>
  <c r="C455"/>
  <c r="D455" s="1"/>
  <c r="C456"/>
  <c r="D456" s="1"/>
  <c r="C457"/>
  <c r="D457" s="1"/>
  <c r="C458"/>
  <c r="D458" s="1"/>
  <c r="C459"/>
  <c r="A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A474"/>
  <c r="C475"/>
  <c r="D475" s="1"/>
  <c r="C476"/>
  <c r="D476" s="1"/>
  <c r="C477"/>
  <c r="A477"/>
  <c r="H427"/>
  <c r="F427"/>
  <c r="C427"/>
  <c r="A427"/>
  <c r="H368"/>
  <c r="F368"/>
  <c r="H369"/>
  <c r="F369"/>
  <c r="H370"/>
  <c r="F370"/>
  <c r="H371"/>
  <c r="I371" s="1"/>
  <c r="H372"/>
  <c r="I372" s="1"/>
  <c r="H373"/>
  <c r="I373" s="1"/>
  <c r="H374"/>
  <c r="I374" s="1"/>
  <c r="H375"/>
  <c r="I375" s="1"/>
  <c r="H376"/>
  <c r="I376" s="1"/>
  <c r="H377"/>
  <c r="I377" s="1"/>
  <c r="H378"/>
  <c r="I378" s="1"/>
  <c r="H379"/>
  <c r="I379" s="1"/>
  <c r="H380"/>
  <c r="I380" s="1"/>
  <c r="H381"/>
  <c r="I381" s="1"/>
  <c r="H382"/>
  <c r="I382" s="1"/>
  <c r="H383"/>
  <c r="I383" s="1"/>
  <c r="H384"/>
  <c r="I384" s="1"/>
  <c r="H385"/>
  <c r="I385" s="1"/>
  <c r="H386"/>
  <c r="I386" s="1"/>
  <c r="H387"/>
  <c r="I387" s="1"/>
  <c r="H388"/>
  <c r="I388" s="1"/>
  <c r="H389"/>
  <c r="I389" s="1"/>
  <c r="H390"/>
  <c r="I390" s="1"/>
  <c r="H391"/>
  <c r="I391" s="1"/>
  <c r="H392"/>
  <c r="F392"/>
  <c r="H393"/>
  <c r="F393"/>
  <c r="H394"/>
  <c r="F394"/>
  <c r="H395"/>
  <c r="F395"/>
  <c r="H396"/>
  <c r="F396"/>
  <c r="H397"/>
  <c r="F397"/>
  <c r="H398"/>
  <c r="F398"/>
  <c r="H399"/>
  <c r="F399"/>
  <c r="H400"/>
  <c r="F400"/>
  <c r="H401"/>
  <c r="F401"/>
  <c r="H402"/>
  <c r="F402"/>
  <c r="H403"/>
  <c r="F403"/>
  <c r="H404"/>
  <c r="F404"/>
  <c r="H405"/>
  <c r="I405" s="1"/>
  <c r="H406"/>
  <c r="F406"/>
  <c r="H407"/>
  <c r="F407"/>
  <c r="H408"/>
  <c r="I408" s="1"/>
  <c r="H409"/>
  <c r="I409" s="1"/>
  <c r="H410"/>
  <c r="F410"/>
  <c r="H411"/>
  <c r="F411"/>
  <c r="H412"/>
  <c r="F412"/>
  <c r="H413"/>
  <c r="F413"/>
  <c r="H414"/>
  <c r="F414"/>
  <c r="H415"/>
  <c r="F415"/>
  <c r="H416"/>
  <c r="F416"/>
  <c r="H417"/>
  <c r="F417"/>
  <c r="C368"/>
  <c r="A368"/>
  <c r="C369"/>
  <c r="D369" s="1"/>
  <c r="C370"/>
  <c r="D370" s="1"/>
  <c r="C371"/>
  <c r="D371" s="1"/>
  <c r="C372"/>
  <c r="D372" s="1"/>
  <c r="C373"/>
  <c r="D373" s="1"/>
  <c r="C374"/>
  <c r="D374" s="1"/>
  <c r="C375"/>
  <c r="D375" s="1"/>
  <c r="C376"/>
  <c r="D376" s="1"/>
  <c r="C377"/>
  <c r="D377" s="1"/>
  <c r="C378"/>
  <c r="D378" s="1"/>
  <c r="C379"/>
  <c r="D379" s="1"/>
  <c r="C380"/>
  <c r="D380" s="1"/>
  <c r="C381"/>
  <c r="D381" s="1"/>
  <c r="C382"/>
  <c r="D382" s="1"/>
  <c r="C383"/>
  <c r="D383" s="1"/>
  <c r="C384"/>
  <c r="D384" s="1"/>
  <c r="C385"/>
  <c r="D385" s="1"/>
  <c r="C386"/>
  <c r="D386" s="1"/>
  <c r="C387"/>
  <c r="D387" s="1"/>
  <c r="C388"/>
  <c r="D388" s="1"/>
  <c r="C389"/>
  <c r="D389" s="1"/>
  <c r="C390"/>
  <c r="D390" s="1"/>
  <c r="C391"/>
  <c r="D391" s="1"/>
  <c r="C392"/>
  <c r="A392"/>
  <c r="C393"/>
  <c r="D393"/>
  <c r="C394"/>
  <c r="D394"/>
  <c r="C395"/>
  <c r="D395"/>
  <c r="C396"/>
  <c r="D396"/>
  <c r="C397"/>
  <c r="D397"/>
  <c r="C398"/>
  <c r="D398"/>
  <c r="C399"/>
  <c r="A399"/>
  <c r="C400"/>
  <c r="D400" s="1"/>
  <c r="C401"/>
  <c r="D401" s="1"/>
  <c r="C402"/>
  <c r="D402" s="1"/>
  <c r="C403"/>
  <c r="D403" s="1"/>
  <c r="C404"/>
  <c r="D404" s="1"/>
  <c r="C405"/>
  <c r="D405" s="1"/>
  <c r="C406"/>
  <c r="D406" s="1"/>
  <c r="C407"/>
  <c r="D407" s="1"/>
  <c r="C408"/>
  <c r="D408" s="1"/>
  <c r="C409"/>
  <c r="D409" s="1"/>
  <c r="C410"/>
  <c r="D410" s="1"/>
  <c r="C411"/>
  <c r="D411" s="1"/>
  <c r="C412"/>
  <c r="D412" s="1"/>
  <c r="C413"/>
  <c r="D413" s="1"/>
  <c r="C414"/>
  <c r="A414"/>
  <c r="C415"/>
  <c r="D415"/>
  <c r="C416"/>
  <c r="D416"/>
  <c r="C417"/>
  <c r="A417"/>
  <c r="H367"/>
  <c r="F367"/>
  <c r="C367"/>
  <c r="A367"/>
  <c r="H308"/>
  <c r="F308"/>
  <c r="H309"/>
  <c r="F309"/>
  <c r="H310"/>
  <c r="F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F332"/>
  <c r="H333"/>
  <c r="F333"/>
  <c r="H334"/>
  <c r="F334"/>
  <c r="H335"/>
  <c r="F335"/>
  <c r="H336"/>
  <c r="F336"/>
  <c r="H337"/>
  <c r="F337"/>
  <c r="H338"/>
  <c r="F338"/>
  <c r="H339"/>
  <c r="F339"/>
  <c r="H340"/>
  <c r="F340"/>
  <c r="H341"/>
  <c r="F341"/>
  <c r="H342"/>
  <c r="F342"/>
  <c r="H343"/>
  <c r="F343"/>
  <c r="H344"/>
  <c r="F344"/>
  <c r="H345"/>
  <c r="I345" s="1"/>
  <c r="H346"/>
  <c r="F346"/>
  <c r="H347"/>
  <c r="F347"/>
  <c r="H348"/>
  <c r="I348" s="1"/>
  <c r="H349"/>
  <c r="I349" s="1"/>
  <c r="H350"/>
  <c r="F350"/>
  <c r="H351"/>
  <c r="F351"/>
  <c r="H352"/>
  <c r="F352"/>
  <c r="H353"/>
  <c r="F353"/>
  <c r="H354"/>
  <c r="F354"/>
  <c r="H355"/>
  <c r="F355"/>
  <c r="H356"/>
  <c r="F356"/>
  <c r="H357"/>
  <c r="F357"/>
  <c r="C308"/>
  <c r="A308"/>
  <c r="C309"/>
  <c r="D309" s="1"/>
  <c r="C310"/>
  <c r="D310" s="1"/>
  <c r="C311"/>
  <c r="D311" s="1"/>
  <c r="C312"/>
  <c r="D312" s="1"/>
  <c r="C313"/>
  <c r="D313" s="1"/>
  <c r="C314"/>
  <c r="D314" s="1"/>
  <c r="C315"/>
  <c r="D315" s="1"/>
  <c r="C316"/>
  <c r="D316" s="1"/>
  <c r="C317"/>
  <c r="D317" s="1"/>
  <c r="C318"/>
  <c r="D318" s="1"/>
  <c r="C319"/>
  <c r="D319" s="1"/>
  <c r="C320"/>
  <c r="D320" s="1"/>
  <c r="C321"/>
  <c r="D321" s="1"/>
  <c r="C322"/>
  <c r="D322" s="1"/>
  <c r="C323"/>
  <c r="D323" s="1"/>
  <c r="C324"/>
  <c r="D324" s="1"/>
  <c r="C325"/>
  <c r="D325" s="1"/>
  <c r="C326"/>
  <c r="D326" s="1"/>
  <c r="C327"/>
  <c r="D327" s="1"/>
  <c r="C328"/>
  <c r="D328" s="1"/>
  <c r="C329"/>
  <c r="D329" s="1"/>
  <c r="C330"/>
  <c r="D330" s="1"/>
  <c r="C331"/>
  <c r="D331" s="1"/>
  <c r="C332"/>
  <c r="A332"/>
  <c r="C333"/>
  <c r="D333" s="1"/>
  <c r="C334"/>
  <c r="D334" s="1"/>
  <c r="C335"/>
  <c r="D335" s="1"/>
  <c r="C336"/>
  <c r="D336" s="1"/>
  <c r="C337"/>
  <c r="D337" s="1"/>
  <c r="C338"/>
  <c r="D338" s="1"/>
  <c r="C339"/>
  <c r="A339"/>
  <c r="C340"/>
  <c r="D340" s="1"/>
  <c r="C341"/>
  <c r="D341" s="1"/>
  <c r="C342"/>
  <c r="D342" s="1"/>
  <c r="C343"/>
  <c r="D343" s="1"/>
  <c r="C344"/>
  <c r="D344" s="1"/>
  <c r="C345"/>
  <c r="D345" s="1"/>
  <c r="C346"/>
  <c r="D346" s="1"/>
  <c r="C347"/>
  <c r="D347" s="1"/>
  <c r="C348"/>
  <c r="D348" s="1"/>
  <c r="C349"/>
  <c r="D349" s="1"/>
  <c r="C350"/>
  <c r="D350" s="1"/>
  <c r="C351"/>
  <c r="D351" s="1"/>
  <c r="C352"/>
  <c r="D352" s="1"/>
  <c r="C353"/>
  <c r="D353" s="1"/>
  <c r="C354"/>
  <c r="A354"/>
  <c r="C355"/>
  <c r="D355" s="1"/>
  <c r="C356"/>
  <c r="D356" s="1"/>
  <c r="C357"/>
  <c r="A357"/>
  <c r="H307"/>
  <c r="F307"/>
  <c r="C307"/>
  <c r="A307"/>
  <c r="H248"/>
  <c r="F248"/>
  <c r="H249"/>
  <c r="F249"/>
  <c r="H250"/>
  <c r="F250"/>
  <c r="H251"/>
  <c r="I251" s="1"/>
  <c r="H252"/>
  <c r="I252" s="1"/>
  <c r="H253"/>
  <c r="I253" s="1"/>
  <c r="H254"/>
  <c r="I254" s="1"/>
  <c r="H255"/>
  <c r="I255" s="1"/>
  <c r="H256"/>
  <c r="I256" s="1"/>
  <c r="H257"/>
  <c r="I257" s="1"/>
  <c r="H258"/>
  <c r="I258" s="1"/>
  <c r="H259"/>
  <c r="I259" s="1"/>
  <c r="H260"/>
  <c r="I260" s="1"/>
  <c r="H261"/>
  <c r="I261" s="1"/>
  <c r="H262"/>
  <c r="I262" s="1"/>
  <c r="H263"/>
  <c r="I263" s="1"/>
  <c r="H264"/>
  <c r="I264" s="1"/>
  <c r="H265"/>
  <c r="I265" s="1"/>
  <c r="H266"/>
  <c r="I266" s="1"/>
  <c r="H267"/>
  <c r="I267" s="1"/>
  <c r="H268"/>
  <c r="I268" s="1"/>
  <c r="H269"/>
  <c r="I269" s="1"/>
  <c r="H270"/>
  <c r="I270" s="1"/>
  <c r="H271"/>
  <c r="I271" s="1"/>
  <c r="H272"/>
  <c r="F272"/>
  <c r="H273"/>
  <c r="F273"/>
  <c r="H274"/>
  <c r="F274"/>
  <c r="H275"/>
  <c r="F275"/>
  <c r="H276"/>
  <c r="F276"/>
  <c r="H277"/>
  <c r="F277"/>
  <c r="H278"/>
  <c r="F278"/>
  <c r="H279"/>
  <c r="F279"/>
  <c r="H280"/>
  <c r="F280"/>
  <c r="H281"/>
  <c r="F281"/>
  <c r="H282"/>
  <c r="F282"/>
  <c r="H283"/>
  <c r="F283"/>
  <c r="H284"/>
  <c r="F284"/>
  <c r="H285"/>
  <c r="I285"/>
  <c r="H286"/>
  <c r="F286"/>
  <c r="H287"/>
  <c r="F287"/>
  <c r="H288"/>
  <c r="I288"/>
  <c r="H289"/>
  <c r="I289"/>
  <c r="H290"/>
  <c r="F290"/>
  <c r="H291"/>
  <c r="F291"/>
  <c r="H292"/>
  <c r="F292"/>
  <c r="H293"/>
  <c r="F293"/>
  <c r="H294"/>
  <c r="F294"/>
  <c r="H295"/>
  <c r="F295"/>
  <c r="H296"/>
  <c r="F296"/>
  <c r="H297"/>
  <c r="F297"/>
  <c r="C248"/>
  <c r="A248"/>
  <c r="C249"/>
  <c r="D249" s="1"/>
  <c r="C250"/>
  <c r="D250" s="1"/>
  <c r="C251"/>
  <c r="D251" s="1"/>
  <c r="C252"/>
  <c r="D252" s="1"/>
  <c r="C253"/>
  <c r="D253" s="1"/>
  <c r="C254"/>
  <c r="D254" s="1"/>
  <c r="C255"/>
  <c r="D255" s="1"/>
  <c r="C256"/>
  <c r="D256" s="1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C265"/>
  <c r="D265" s="1"/>
  <c r="C266"/>
  <c r="D266" s="1"/>
  <c r="C267"/>
  <c r="D267" s="1"/>
  <c r="C268"/>
  <c r="D268" s="1"/>
  <c r="C269"/>
  <c r="D269" s="1"/>
  <c r="C270"/>
  <c r="D270" s="1"/>
  <c r="C271"/>
  <c r="D271" s="1"/>
  <c r="C272"/>
  <c r="A272"/>
  <c r="C273"/>
  <c r="D273" s="1"/>
  <c r="C274"/>
  <c r="D274" s="1"/>
  <c r="C275"/>
  <c r="D275" s="1"/>
  <c r="C276"/>
  <c r="D276" s="1"/>
  <c r="C277"/>
  <c r="D277" s="1"/>
  <c r="C278"/>
  <c r="D278" s="1"/>
  <c r="C279"/>
  <c r="A279"/>
  <c r="C280"/>
  <c r="D280" s="1"/>
  <c r="C281"/>
  <c r="D281" s="1"/>
  <c r="C282"/>
  <c r="D282" s="1"/>
  <c r="C283"/>
  <c r="D283" s="1"/>
  <c r="C284"/>
  <c r="D284" s="1"/>
  <c r="C285"/>
  <c r="D285" s="1"/>
  <c r="C286"/>
  <c r="D286" s="1"/>
  <c r="C287"/>
  <c r="D287" s="1"/>
  <c r="C288"/>
  <c r="D288" s="1"/>
  <c r="C289"/>
  <c r="D289" s="1"/>
  <c r="C290"/>
  <c r="D290" s="1"/>
  <c r="C291"/>
  <c r="D291" s="1"/>
  <c r="C292"/>
  <c r="D292" s="1"/>
  <c r="C293"/>
  <c r="D293" s="1"/>
  <c r="C294"/>
  <c r="A294"/>
  <c r="C295"/>
  <c r="D295" s="1"/>
  <c r="C296"/>
  <c r="D296" s="1"/>
  <c r="C297"/>
  <c r="A297"/>
  <c r="H247"/>
  <c r="F247"/>
  <c r="C247"/>
  <c r="A247"/>
  <c r="H188"/>
  <c r="F188"/>
  <c r="H189"/>
  <c r="F189"/>
  <c r="H190"/>
  <c r="F190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F212"/>
  <c r="H213"/>
  <c r="F213"/>
  <c r="H214"/>
  <c r="F214"/>
  <c r="H215"/>
  <c r="F215"/>
  <c r="H216"/>
  <c r="F216"/>
  <c r="H217"/>
  <c r="F217"/>
  <c r="H218"/>
  <c r="F218"/>
  <c r="H219"/>
  <c r="F219"/>
  <c r="H220"/>
  <c r="F220"/>
  <c r="H221"/>
  <c r="F221"/>
  <c r="H222"/>
  <c r="F222"/>
  <c r="H223"/>
  <c r="F223"/>
  <c r="H224"/>
  <c r="F224"/>
  <c r="H225"/>
  <c r="I225" s="1"/>
  <c r="H226"/>
  <c r="F226"/>
  <c r="H227"/>
  <c r="F227"/>
  <c r="H228"/>
  <c r="I228" s="1"/>
  <c r="H229"/>
  <c r="I229" s="1"/>
  <c r="H230"/>
  <c r="F230"/>
  <c r="H231"/>
  <c r="F231"/>
  <c r="H232"/>
  <c r="F232"/>
  <c r="H233"/>
  <c r="F233"/>
  <c r="H234"/>
  <c r="F234"/>
  <c r="H235"/>
  <c r="F235"/>
  <c r="H236"/>
  <c r="F236"/>
  <c r="H237"/>
  <c r="F237"/>
  <c r="C188"/>
  <c r="A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A212"/>
  <c r="C213"/>
  <c r="D213" s="1"/>
  <c r="C214"/>
  <c r="D214" s="1"/>
  <c r="C215"/>
  <c r="D215" s="1"/>
  <c r="C216"/>
  <c r="D216" s="1"/>
  <c r="C217"/>
  <c r="D217" s="1"/>
  <c r="C218"/>
  <c r="D218" s="1"/>
  <c r="C219"/>
  <c r="A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A234"/>
  <c r="C235"/>
  <c r="D235" s="1"/>
  <c r="C236"/>
  <c r="D236" s="1"/>
  <c r="C237"/>
  <c r="A237"/>
  <c r="H187"/>
  <c r="F187"/>
  <c r="C187"/>
  <c r="A187"/>
  <c r="H128"/>
  <c r="F128"/>
  <c r="H129"/>
  <c r="F129"/>
  <c r="H130"/>
  <c r="F130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F152"/>
  <c r="H153"/>
  <c r="F153"/>
  <c r="H154"/>
  <c r="F154"/>
  <c r="H155"/>
  <c r="F155"/>
  <c r="H156"/>
  <c r="F156"/>
  <c r="H157"/>
  <c r="F157"/>
  <c r="H158"/>
  <c r="F158"/>
  <c r="H159"/>
  <c r="F159"/>
  <c r="H160"/>
  <c r="F160"/>
  <c r="H161"/>
  <c r="F161"/>
  <c r="H162"/>
  <c r="F162"/>
  <c r="H163"/>
  <c r="F163"/>
  <c r="H164"/>
  <c r="F164"/>
  <c r="H165"/>
  <c r="I165" s="1"/>
  <c r="H166"/>
  <c r="F166"/>
  <c r="H167"/>
  <c r="F167"/>
  <c r="H168"/>
  <c r="I168" s="1"/>
  <c r="H169"/>
  <c r="I169" s="1"/>
  <c r="H170"/>
  <c r="F170"/>
  <c r="H171"/>
  <c r="F171"/>
  <c r="H172"/>
  <c r="F172"/>
  <c r="H173"/>
  <c r="F173"/>
  <c r="H174"/>
  <c r="F174"/>
  <c r="H175"/>
  <c r="F175"/>
  <c r="H176"/>
  <c r="F176"/>
  <c r="H177"/>
  <c r="F177"/>
  <c r="C128"/>
  <c r="A128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A152"/>
  <c r="C153"/>
  <c r="D153"/>
  <c r="C154"/>
  <c r="D154"/>
  <c r="C155"/>
  <c r="D155"/>
  <c r="C156"/>
  <c r="D156"/>
  <c r="C157"/>
  <c r="D157"/>
  <c r="C158"/>
  <c r="D158"/>
  <c r="C159"/>
  <c r="A159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A174"/>
  <c r="C175"/>
  <c r="D175"/>
  <c r="C176"/>
  <c r="D176"/>
  <c r="C177"/>
  <c r="A177"/>
  <c r="H127"/>
  <c r="F127"/>
  <c r="C127"/>
  <c r="A127"/>
  <c r="H68"/>
  <c r="F68"/>
  <c r="H69"/>
  <c r="F69"/>
  <c r="H70"/>
  <c r="F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F92"/>
  <c r="H93"/>
  <c r="F93"/>
  <c r="H94"/>
  <c r="F94"/>
  <c r="H95"/>
  <c r="F95"/>
  <c r="H96"/>
  <c r="F96"/>
  <c r="H97"/>
  <c r="F97"/>
  <c r="H98"/>
  <c r="F98"/>
  <c r="H99"/>
  <c r="F99"/>
  <c r="H100"/>
  <c r="F100"/>
  <c r="H101"/>
  <c r="F101"/>
  <c r="H102"/>
  <c r="F102"/>
  <c r="H103"/>
  <c r="F103"/>
  <c r="H104"/>
  <c r="F104"/>
  <c r="H105"/>
  <c r="I105" s="1"/>
  <c r="H106"/>
  <c r="F106"/>
  <c r="H107"/>
  <c r="F107"/>
  <c r="H108"/>
  <c r="I108" s="1"/>
  <c r="H109"/>
  <c r="I109" s="1"/>
  <c r="H110"/>
  <c r="F110"/>
  <c r="H111"/>
  <c r="F111"/>
  <c r="H112"/>
  <c r="F112"/>
  <c r="H113"/>
  <c r="F113"/>
  <c r="H114"/>
  <c r="F114"/>
  <c r="H115"/>
  <c r="F115"/>
  <c r="H116"/>
  <c r="F116"/>
  <c r="H117"/>
  <c r="F117"/>
  <c r="C68"/>
  <c r="A68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A92"/>
  <c r="C93"/>
  <c r="D93" s="1"/>
  <c r="C94"/>
  <c r="D94" s="1"/>
  <c r="C95"/>
  <c r="D95" s="1"/>
  <c r="C96"/>
  <c r="D96" s="1"/>
  <c r="C97"/>
  <c r="D97" s="1"/>
  <c r="C98"/>
  <c r="D98" s="1"/>
  <c r="C99"/>
  <c r="A99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A114"/>
  <c r="C115"/>
  <c r="D115" s="1"/>
  <c r="C116"/>
  <c r="D116" s="1"/>
  <c r="C117"/>
  <c r="A117"/>
  <c r="H67"/>
  <c r="F67"/>
  <c r="C67"/>
  <c r="A67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45"/>
  <c r="I48"/>
  <c r="I4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D36"/>
  <c r="D37"/>
  <c r="D38"/>
  <c r="D40"/>
  <c r="D41"/>
  <c r="D42"/>
  <c r="D43"/>
  <c r="D44"/>
  <c r="D45"/>
  <c r="D46"/>
  <c r="D47"/>
  <c r="D48"/>
  <c r="D49"/>
  <c r="D50"/>
  <c r="D51"/>
  <c r="D52"/>
  <c r="D53"/>
  <c r="D55"/>
  <c r="D56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H727"/>
  <c r="H728"/>
  <c r="H729"/>
  <c r="H730"/>
  <c r="H731"/>
  <c r="I731" s="1"/>
  <c r="F71"/>
  <c r="F131"/>
  <c r="F191"/>
  <c r="F251"/>
  <c r="F311"/>
  <c r="F371"/>
  <c r="F431"/>
  <c r="F491"/>
  <c r="F551"/>
  <c r="F611"/>
  <c r="F671"/>
  <c r="H732"/>
  <c r="I732" s="1"/>
  <c r="F72"/>
  <c r="F132"/>
  <c r="F192"/>
  <c r="F252"/>
  <c r="F312"/>
  <c r="F372"/>
  <c r="F432"/>
  <c r="F492"/>
  <c r="F552"/>
  <c r="F612"/>
  <c r="F672"/>
  <c r="H733"/>
  <c r="I733" s="1"/>
  <c r="F73"/>
  <c r="F133"/>
  <c r="F193"/>
  <c r="F253"/>
  <c r="F313"/>
  <c r="F373"/>
  <c r="F433"/>
  <c r="F493"/>
  <c r="F553"/>
  <c r="F613"/>
  <c r="F673"/>
  <c r="H734"/>
  <c r="I734" s="1"/>
  <c r="F74"/>
  <c r="F134"/>
  <c r="F194"/>
  <c r="F254"/>
  <c r="F314"/>
  <c r="F374"/>
  <c r="F434"/>
  <c r="F494"/>
  <c r="F554"/>
  <c r="F614"/>
  <c r="F674"/>
  <c r="H735"/>
  <c r="I735" s="1"/>
  <c r="F75"/>
  <c r="F135"/>
  <c r="F195"/>
  <c r="F255"/>
  <c r="F315"/>
  <c r="F375"/>
  <c r="F435"/>
  <c r="F495"/>
  <c r="F555"/>
  <c r="F615"/>
  <c r="F675"/>
  <c r="H736"/>
  <c r="I736" s="1"/>
  <c r="F76"/>
  <c r="F136"/>
  <c r="F196"/>
  <c r="F256"/>
  <c r="F316"/>
  <c r="F376"/>
  <c r="F436"/>
  <c r="F496"/>
  <c r="F556"/>
  <c r="F616"/>
  <c r="F676"/>
  <c r="H737"/>
  <c r="I737" s="1"/>
  <c r="F77"/>
  <c r="F137"/>
  <c r="F197"/>
  <c r="F257"/>
  <c r="F317"/>
  <c r="F377"/>
  <c r="F437"/>
  <c r="F497"/>
  <c r="F557"/>
  <c r="F617"/>
  <c r="F677"/>
  <c r="H738"/>
  <c r="I738" s="1"/>
  <c r="F78"/>
  <c r="F138"/>
  <c r="F198"/>
  <c r="F258"/>
  <c r="F318"/>
  <c r="F378"/>
  <c r="F438"/>
  <c r="F498"/>
  <c r="F558"/>
  <c r="F618"/>
  <c r="F678"/>
  <c r="H739"/>
  <c r="I739" s="1"/>
  <c r="F79"/>
  <c r="F139"/>
  <c r="F199"/>
  <c r="F259"/>
  <c r="F319"/>
  <c r="F379"/>
  <c r="F439"/>
  <c r="F499"/>
  <c r="F559"/>
  <c r="F619"/>
  <c r="F679"/>
  <c r="H740"/>
  <c r="I740" s="1"/>
  <c r="F80"/>
  <c r="F140"/>
  <c r="F200"/>
  <c r="F260"/>
  <c r="F320"/>
  <c r="F380"/>
  <c r="F440"/>
  <c r="F500"/>
  <c r="F560"/>
  <c r="F620"/>
  <c r="F680"/>
  <c r="H741"/>
  <c r="I741" s="1"/>
  <c r="F81"/>
  <c r="F141"/>
  <c r="F201"/>
  <c r="F261"/>
  <c r="F321"/>
  <c r="F381"/>
  <c r="F441"/>
  <c r="F501"/>
  <c r="F561"/>
  <c r="F621"/>
  <c r="F681"/>
  <c r="H742"/>
  <c r="I742" s="1"/>
  <c r="F82"/>
  <c r="F142"/>
  <c r="F202"/>
  <c r="F262"/>
  <c r="F322"/>
  <c r="F382"/>
  <c r="F442"/>
  <c r="F502"/>
  <c r="F562"/>
  <c r="F622"/>
  <c r="F682"/>
  <c r="H743"/>
  <c r="I743" s="1"/>
  <c r="F83"/>
  <c r="F143"/>
  <c r="F203"/>
  <c r="F263"/>
  <c r="F323"/>
  <c r="F383"/>
  <c r="F443"/>
  <c r="F503"/>
  <c r="F563"/>
  <c r="F623"/>
  <c r="F683"/>
  <c r="H744"/>
  <c r="I744" s="1"/>
  <c r="F84"/>
  <c r="F144"/>
  <c r="F204"/>
  <c r="F264"/>
  <c r="F324"/>
  <c r="F384"/>
  <c r="F444"/>
  <c r="F504"/>
  <c r="F564"/>
  <c r="F624"/>
  <c r="F684"/>
  <c r="H745"/>
  <c r="I745" s="1"/>
  <c r="F85"/>
  <c r="F145"/>
  <c r="F205"/>
  <c r="F265"/>
  <c r="F325"/>
  <c r="F385"/>
  <c r="F445"/>
  <c r="F505"/>
  <c r="F565"/>
  <c r="F625"/>
  <c r="F685"/>
  <c r="H746"/>
  <c r="I746" s="1"/>
  <c r="F86"/>
  <c r="F146"/>
  <c r="F206"/>
  <c r="F266"/>
  <c r="F326"/>
  <c r="F386"/>
  <c r="F446"/>
  <c r="F506"/>
  <c r="F566"/>
  <c r="F626"/>
  <c r="F686"/>
  <c r="H747"/>
  <c r="I747" s="1"/>
  <c r="H752"/>
  <c r="H753"/>
  <c r="H754"/>
  <c r="H755"/>
  <c r="H756"/>
  <c r="H757"/>
  <c r="H758"/>
  <c r="H759"/>
  <c r="H760"/>
  <c r="H761"/>
  <c r="H762"/>
  <c r="H770"/>
  <c r="H771"/>
  <c r="H772"/>
  <c r="H773"/>
  <c r="H774"/>
  <c r="H775"/>
  <c r="H776"/>
  <c r="H777"/>
  <c r="H763"/>
  <c r="H764"/>
  <c r="H769"/>
  <c r="I769"/>
  <c r="H767"/>
  <c r="H766"/>
  <c r="H748"/>
  <c r="I748"/>
  <c r="H749"/>
  <c r="I749" s="1"/>
  <c r="H750"/>
  <c r="I750"/>
  <c r="H751"/>
  <c r="I751"/>
  <c r="H765"/>
  <c r="I765"/>
  <c r="H768"/>
  <c r="I76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C727"/>
  <c r="C728"/>
  <c r="C729"/>
  <c r="D729" s="1"/>
  <c r="A69"/>
  <c r="A129"/>
  <c r="A189"/>
  <c r="A249"/>
  <c r="A309"/>
  <c r="A369"/>
  <c r="A429"/>
  <c r="A489"/>
  <c r="A549"/>
  <c r="A609"/>
  <c r="A669"/>
  <c r="C730"/>
  <c r="D730" s="1"/>
  <c r="A70"/>
  <c r="A130"/>
  <c r="A190"/>
  <c r="A250"/>
  <c r="A310"/>
  <c r="A370"/>
  <c r="A430"/>
  <c r="A490"/>
  <c r="A550"/>
  <c r="A610"/>
  <c r="A670"/>
  <c r="C731"/>
  <c r="D731" s="1"/>
  <c r="A71"/>
  <c r="A131"/>
  <c r="A191"/>
  <c r="A251"/>
  <c r="A311"/>
  <c r="A371"/>
  <c r="A431"/>
  <c r="A491"/>
  <c r="A551"/>
  <c r="A611"/>
  <c r="A671"/>
  <c r="C732"/>
  <c r="D732" s="1"/>
  <c r="A72"/>
  <c r="A132"/>
  <c r="A192"/>
  <c r="A252"/>
  <c r="A312"/>
  <c r="A372"/>
  <c r="A432"/>
  <c r="A492"/>
  <c r="A552"/>
  <c r="A612"/>
  <c r="A672"/>
  <c r="C733"/>
  <c r="D733" s="1"/>
  <c r="A73"/>
  <c r="A133"/>
  <c r="A193"/>
  <c r="A253"/>
  <c r="A313"/>
  <c r="A373"/>
  <c r="A433"/>
  <c r="A493"/>
  <c r="A553"/>
  <c r="A613"/>
  <c r="A673"/>
  <c r="C734"/>
  <c r="D734" s="1"/>
  <c r="A74"/>
  <c r="A134"/>
  <c r="A194"/>
  <c r="A254"/>
  <c r="A314"/>
  <c r="A374"/>
  <c r="A434"/>
  <c r="A494"/>
  <c r="A554"/>
  <c r="A614"/>
  <c r="A674"/>
  <c r="C735"/>
  <c r="D735" s="1"/>
  <c r="A75"/>
  <c r="A135"/>
  <c r="A195"/>
  <c r="A255"/>
  <c r="A315"/>
  <c r="A375"/>
  <c r="A435"/>
  <c r="A495"/>
  <c r="A555"/>
  <c r="A615"/>
  <c r="A675"/>
  <c r="C736"/>
  <c r="D736" s="1"/>
  <c r="A76"/>
  <c r="A136"/>
  <c r="A196"/>
  <c r="A256"/>
  <c r="A316"/>
  <c r="A376"/>
  <c r="A436"/>
  <c r="A496"/>
  <c r="A556"/>
  <c r="A616"/>
  <c r="A676"/>
  <c r="C737"/>
  <c r="D737" s="1"/>
  <c r="A77"/>
  <c r="A137"/>
  <c r="A197"/>
  <c r="A257"/>
  <c r="A317"/>
  <c r="A377"/>
  <c r="A437"/>
  <c r="A497"/>
  <c r="A557"/>
  <c r="A617"/>
  <c r="A677"/>
  <c r="C738"/>
  <c r="D738" s="1"/>
  <c r="A78"/>
  <c r="A138"/>
  <c r="A198"/>
  <c r="A258"/>
  <c r="A318"/>
  <c r="A378"/>
  <c r="A438"/>
  <c r="A498"/>
  <c r="A558"/>
  <c r="A618"/>
  <c r="A678"/>
  <c r="C744"/>
  <c r="D744" s="1"/>
  <c r="A84"/>
  <c r="A144"/>
  <c r="A204"/>
  <c r="A264"/>
  <c r="A324"/>
  <c r="A384"/>
  <c r="A444"/>
  <c r="A504"/>
  <c r="A564"/>
  <c r="A624"/>
  <c r="A684"/>
  <c r="C739"/>
  <c r="D739"/>
  <c r="C740"/>
  <c r="D740"/>
  <c r="C750"/>
  <c r="D750"/>
  <c r="C752"/>
  <c r="C753"/>
  <c r="A93"/>
  <c r="A153"/>
  <c r="A213"/>
  <c r="A273"/>
  <c r="A333"/>
  <c r="A393"/>
  <c r="A453"/>
  <c r="A513"/>
  <c r="A573"/>
  <c r="A633"/>
  <c r="A693"/>
  <c r="D753"/>
  <c r="C754"/>
  <c r="A94"/>
  <c r="A154"/>
  <c r="A214"/>
  <c r="A274"/>
  <c r="A334"/>
  <c r="A394"/>
  <c r="A454"/>
  <c r="A514"/>
  <c r="A574"/>
  <c r="A634"/>
  <c r="A694"/>
  <c r="D754"/>
  <c r="C755"/>
  <c r="A95"/>
  <c r="A155"/>
  <c r="A215"/>
  <c r="A275"/>
  <c r="A335"/>
  <c r="A395"/>
  <c r="A455"/>
  <c r="A515"/>
  <c r="A575"/>
  <c r="A635"/>
  <c r="A695"/>
  <c r="D755"/>
  <c r="C757"/>
  <c r="A97"/>
  <c r="A157"/>
  <c r="A217"/>
  <c r="A277"/>
  <c r="A337"/>
  <c r="A397"/>
  <c r="A457"/>
  <c r="C517"/>
  <c r="A517"/>
  <c r="A577"/>
  <c r="A637"/>
  <c r="A697"/>
  <c r="C759"/>
  <c r="C760"/>
  <c r="A100"/>
  <c r="A160"/>
  <c r="A220"/>
  <c r="A280"/>
  <c r="A340"/>
  <c r="A400"/>
  <c r="A460"/>
  <c r="A520"/>
  <c r="A580"/>
  <c r="A640"/>
  <c r="A700"/>
  <c r="D760"/>
  <c r="C761"/>
  <c r="A101"/>
  <c r="A161"/>
  <c r="A221"/>
  <c r="A281"/>
  <c r="A341"/>
  <c r="A401"/>
  <c r="A461"/>
  <c r="A521"/>
  <c r="A581"/>
  <c r="A641"/>
  <c r="A701"/>
  <c r="D761"/>
  <c r="C762"/>
  <c r="A102"/>
  <c r="A162"/>
  <c r="A222"/>
  <c r="A282"/>
  <c r="A342"/>
  <c r="A402"/>
  <c r="A462"/>
  <c r="A522"/>
  <c r="A582"/>
  <c r="A642"/>
  <c r="A702"/>
  <c r="D762"/>
  <c r="C774"/>
  <c r="C777"/>
  <c r="C741"/>
  <c r="D741" s="1"/>
  <c r="C742"/>
  <c r="D742" s="1"/>
  <c r="C743"/>
  <c r="D743" s="1"/>
  <c r="C745"/>
  <c r="D745" s="1"/>
  <c r="C746"/>
  <c r="D746" s="1"/>
  <c r="C747"/>
  <c r="D747" s="1"/>
  <c r="C748"/>
  <c r="D748" s="1"/>
  <c r="C749"/>
  <c r="D749" s="1"/>
  <c r="C751"/>
  <c r="D751" s="1"/>
  <c r="C756"/>
  <c r="D756" s="1"/>
  <c r="C758"/>
  <c r="D758" s="1"/>
  <c r="C763"/>
  <c r="D763" s="1"/>
  <c r="C764"/>
  <c r="D764" s="1"/>
  <c r="C765"/>
  <c r="D765" s="1"/>
  <c r="C766"/>
  <c r="D766" s="1"/>
  <c r="C767"/>
  <c r="D767" s="1"/>
  <c r="C768"/>
  <c r="D768" s="1"/>
  <c r="C769"/>
  <c r="D769" s="1"/>
  <c r="C770"/>
  <c r="D770" s="1"/>
  <c r="C771"/>
  <c r="D771" s="1"/>
  <c r="C772"/>
  <c r="D772" s="1"/>
  <c r="C773"/>
  <c r="D773" s="1"/>
  <c r="C775"/>
  <c r="D775" s="1"/>
  <c r="C776"/>
  <c r="D776" s="1"/>
  <c r="N733"/>
  <c r="L733"/>
  <c r="N728"/>
  <c r="L728"/>
  <c r="L721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N673"/>
  <c r="L673"/>
  <c r="N668"/>
  <c r="L668"/>
  <c r="L661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N613"/>
  <c r="L613"/>
  <c r="N608"/>
  <c r="L608"/>
  <c r="L601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N553"/>
  <c r="L553"/>
  <c r="N548"/>
  <c r="L548"/>
  <c r="L541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N493"/>
  <c r="L493"/>
  <c r="N488"/>
  <c r="L488"/>
  <c r="L481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N433"/>
  <c r="L433"/>
  <c r="N428"/>
  <c r="L428"/>
  <c r="L421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N373"/>
  <c r="L373"/>
  <c r="N368"/>
  <c r="L368"/>
  <c r="L361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N313"/>
  <c r="L313"/>
  <c r="N308"/>
  <c r="L308"/>
  <c r="L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N253"/>
  <c r="L253"/>
  <c r="N248"/>
  <c r="L248"/>
  <c r="L241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N193"/>
  <c r="L193"/>
  <c r="N188"/>
  <c r="L188"/>
  <c r="L181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N133"/>
  <c r="L133"/>
  <c r="N128"/>
  <c r="L128"/>
  <c r="L121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N73"/>
  <c r="L73"/>
  <c r="N68"/>
  <c r="L68"/>
  <c r="L61"/>
  <c r="L1"/>
  <c r="F87"/>
  <c r="F147"/>
  <c r="F207"/>
  <c r="F267"/>
  <c r="F327"/>
  <c r="F387"/>
  <c r="F447"/>
  <c r="F507"/>
  <c r="F567"/>
  <c r="F627"/>
  <c r="F687"/>
  <c r="F88"/>
  <c r="F148"/>
  <c r="F208"/>
  <c r="F268"/>
  <c r="F328"/>
  <c r="F388"/>
  <c r="F448"/>
  <c r="F508"/>
  <c r="F568"/>
  <c r="F628"/>
  <c r="F688"/>
  <c r="F89"/>
  <c r="F149"/>
  <c r="F209"/>
  <c r="F269"/>
  <c r="F329"/>
  <c r="F389"/>
  <c r="F449"/>
  <c r="F509"/>
  <c r="F569"/>
  <c r="F629"/>
  <c r="F689"/>
  <c r="F90"/>
  <c r="F150"/>
  <c r="F210"/>
  <c r="F270"/>
  <c r="F330"/>
  <c r="F390"/>
  <c r="F450"/>
  <c r="F510"/>
  <c r="F570"/>
  <c r="F630"/>
  <c r="F690"/>
  <c r="F91"/>
  <c r="F151"/>
  <c r="F211"/>
  <c r="F271"/>
  <c r="F331"/>
  <c r="F391"/>
  <c r="F451"/>
  <c r="F511"/>
  <c r="F571"/>
  <c r="F631"/>
  <c r="F691"/>
  <c r="F105"/>
  <c r="F165"/>
  <c r="F225"/>
  <c r="F285"/>
  <c r="F345"/>
  <c r="F405"/>
  <c r="F465"/>
  <c r="F525"/>
  <c r="F585"/>
  <c r="F645"/>
  <c r="F705"/>
  <c r="A87"/>
  <c r="A147"/>
  <c r="A207"/>
  <c r="A267"/>
  <c r="A327"/>
  <c r="A387"/>
  <c r="A447"/>
  <c r="A507"/>
  <c r="A567"/>
  <c r="A627"/>
  <c r="A687"/>
  <c r="A88"/>
  <c r="A148"/>
  <c r="A208"/>
  <c r="A268"/>
  <c r="A328"/>
  <c r="A388"/>
  <c r="A448"/>
  <c r="A508"/>
  <c r="A568"/>
  <c r="A628"/>
  <c r="A688"/>
  <c r="A89"/>
  <c r="A149"/>
  <c r="A209"/>
  <c r="A269"/>
  <c r="A329"/>
  <c r="A389"/>
  <c r="A449"/>
  <c r="A509"/>
  <c r="A569"/>
  <c r="A629"/>
  <c r="A689"/>
  <c r="A90"/>
  <c r="A150"/>
  <c r="A210"/>
  <c r="A270"/>
  <c r="A330"/>
  <c r="A390"/>
  <c r="A450"/>
  <c r="A510"/>
  <c r="A570"/>
  <c r="A630"/>
  <c r="A690"/>
  <c r="A96"/>
  <c r="A156"/>
  <c r="A216"/>
  <c r="A276"/>
  <c r="A336"/>
  <c r="A396"/>
  <c r="A456"/>
  <c r="A516"/>
  <c r="A576"/>
  <c r="A636"/>
  <c r="A696"/>
  <c r="A98"/>
  <c r="A158"/>
  <c r="A218"/>
  <c r="A278"/>
  <c r="A338"/>
  <c r="A398"/>
  <c r="A458"/>
  <c r="A518"/>
  <c r="A578"/>
  <c r="A638"/>
  <c r="A698"/>
  <c r="S739"/>
  <c r="S744"/>
  <c r="S749"/>
  <c r="S754"/>
  <c r="S759"/>
  <c r="S764"/>
  <c r="S769"/>
  <c r="S774"/>
  <c r="Q739"/>
  <c r="Q744"/>
  <c r="Q749"/>
  <c r="Q754"/>
  <c r="Q759"/>
  <c r="Q764"/>
  <c r="Q769"/>
  <c r="Q774"/>
  <c r="S679"/>
  <c r="S684"/>
  <c r="S689"/>
  <c r="S694"/>
  <c r="S699"/>
  <c r="S704"/>
  <c r="S709"/>
  <c r="S714"/>
  <c r="Q679"/>
  <c r="Q684"/>
  <c r="Q689"/>
  <c r="Q694"/>
  <c r="Q699"/>
  <c r="Q704"/>
  <c r="Q709"/>
  <c r="Q714"/>
  <c r="S619"/>
  <c r="S624"/>
  <c r="S629"/>
  <c r="S634"/>
  <c r="S639"/>
  <c r="S644"/>
  <c r="S649"/>
  <c r="S654"/>
  <c r="Q619"/>
  <c r="Q624"/>
  <c r="Q629"/>
  <c r="Q634"/>
  <c r="Q639"/>
  <c r="Q644"/>
  <c r="Q649"/>
  <c r="Q654"/>
  <c r="S559"/>
  <c r="S564"/>
  <c r="S569"/>
  <c r="S574"/>
  <c r="S579"/>
  <c r="S584"/>
  <c r="S589"/>
  <c r="S594"/>
  <c r="Q559"/>
  <c r="Q564"/>
  <c r="Q569"/>
  <c r="Q574"/>
  <c r="Q579"/>
  <c r="Q584"/>
  <c r="Q589"/>
  <c r="Q594"/>
  <c r="S499"/>
  <c r="S504"/>
  <c r="S509"/>
  <c r="S514"/>
  <c r="S519"/>
  <c r="S524"/>
  <c r="S529"/>
  <c r="S534"/>
  <c r="Q499"/>
  <c r="Q504"/>
  <c r="Q509"/>
  <c r="Q514"/>
  <c r="Q519"/>
  <c r="Q524"/>
  <c r="Q529"/>
  <c r="Q534"/>
  <c r="S439"/>
  <c r="S444"/>
  <c r="S449"/>
  <c r="S454"/>
  <c r="S459"/>
  <c r="S464"/>
  <c r="S469"/>
  <c r="S474"/>
  <c r="Q439"/>
  <c r="Q444"/>
  <c r="Q449"/>
  <c r="Q454"/>
  <c r="Q459"/>
  <c r="Q464"/>
  <c r="Q469"/>
  <c r="Q474"/>
  <c r="S379"/>
  <c r="S384"/>
  <c r="S389"/>
  <c r="S394"/>
  <c r="S399"/>
  <c r="S404"/>
  <c r="S409"/>
  <c r="S414"/>
  <c r="Q379"/>
  <c r="Q384"/>
  <c r="Q389"/>
  <c r="Q394"/>
  <c r="Q399"/>
  <c r="Q404"/>
  <c r="Q409"/>
  <c r="Q414"/>
  <c r="S319"/>
  <c r="S324"/>
  <c r="S329"/>
  <c r="S334"/>
  <c r="S339"/>
  <c r="S344"/>
  <c r="S349"/>
  <c r="S354"/>
  <c r="Q319"/>
  <c r="Q324"/>
  <c r="Q329"/>
  <c r="Q334"/>
  <c r="Q339"/>
  <c r="Q344"/>
  <c r="Q349"/>
  <c r="Q354"/>
  <c r="S259"/>
  <c r="S264"/>
  <c r="S269"/>
  <c r="S274"/>
  <c r="S279"/>
  <c r="S284"/>
  <c r="S289"/>
  <c r="S294"/>
  <c r="Q259"/>
  <c r="Q264"/>
  <c r="Q269"/>
  <c r="Q274"/>
  <c r="Q279"/>
  <c r="Q284"/>
  <c r="Q289"/>
  <c r="Q294"/>
  <c r="S199"/>
  <c r="S204"/>
  <c r="S209"/>
  <c r="S214"/>
  <c r="S219"/>
  <c r="S224"/>
  <c r="S229"/>
  <c r="S234"/>
  <c r="Q199"/>
  <c r="Q204"/>
  <c r="Q209"/>
  <c r="Q214"/>
  <c r="Q219"/>
  <c r="Q224"/>
  <c r="Q229"/>
  <c r="Q234"/>
  <c r="S139"/>
  <c r="S144"/>
  <c r="S149"/>
  <c r="S154"/>
  <c r="S159"/>
  <c r="S164"/>
  <c r="S169"/>
  <c r="S174"/>
  <c r="Q139"/>
  <c r="Q144"/>
  <c r="Q149"/>
  <c r="Q154"/>
  <c r="Q159"/>
  <c r="Q164"/>
  <c r="Q169"/>
  <c r="Q174"/>
  <c r="S79"/>
  <c r="S84"/>
  <c r="S89"/>
  <c r="S94"/>
  <c r="S99"/>
  <c r="S104"/>
  <c r="S109"/>
  <c r="S114"/>
  <c r="Q79"/>
  <c r="Q84"/>
  <c r="Q89"/>
  <c r="Q94"/>
  <c r="Q99"/>
  <c r="Q104"/>
  <c r="Q109"/>
  <c r="Q114"/>
  <c r="S19"/>
  <c r="S24"/>
  <c r="S29"/>
  <c r="S34"/>
  <c r="S39"/>
  <c r="S44"/>
  <c r="S49"/>
  <c r="S54"/>
  <c r="Q19"/>
  <c r="Q24"/>
  <c r="R24" s="1"/>
  <c r="Q29"/>
  <c r="R29" s="1"/>
  <c r="Q34"/>
  <c r="R34" s="1"/>
  <c r="Q39"/>
  <c r="Q44"/>
  <c r="R44" s="1"/>
  <c r="Q49"/>
  <c r="R49" s="1"/>
  <c r="Q54"/>
  <c r="R54" s="1"/>
  <c r="R19"/>
  <c r="R39"/>
  <c r="Q721"/>
  <c r="Q661"/>
  <c r="Q601"/>
  <c r="Q541"/>
  <c r="Q481"/>
  <c r="Q421"/>
  <c r="Q361"/>
  <c r="Q301"/>
  <c r="Q241"/>
  <c r="Q181"/>
  <c r="Q121"/>
  <c r="Q61"/>
  <c r="Q1"/>
  <c r="S68"/>
  <c r="S773"/>
  <c r="S768"/>
  <c r="S763"/>
  <c r="S758"/>
  <c r="S753"/>
  <c r="S748"/>
  <c r="S743"/>
  <c r="S738"/>
  <c r="S733"/>
  <c r="S728"/>
  <c r="S713"/>
  <c r="S708"/>
  <c r="S703"/>
  <c r="S698"/>
  <c r="S693"/>
  <c r="S688"/>
  <c r="S683"/>
  <c r="S678"/>
  <c r="S673"/>
  <c r="S668"/>
  <c r="S653"/>
  <c r="S648"/>
  <c r="S643"/>
  <c r="S638"/>
  <c r="S633"/>
  <c r="S628"/>
  <c r="S623"/>
  <c r="S618"/>
  <c r="S613"/>
  <c r="S608"/>
  <c r="S593"/>
  <c r="S588"/>
  <c r="S583"/>
  <c r="S578"/>
  <c r="S573"/>
  <c r="S568"/>
  <c r="S563"/>
  <c r="S558"/>
  <c r="S553"/>
  <c r="S548"/>
  <c r="S533"/>
  <c r="S528"/>
  <c r="S523"/>
  <c r="S518"/>
  <c r="S513"/>
  <c r="S508"/>
  <c r="S503"/>
  <c r="S498"/>
  <c r="S493"/>
  <c r="S488"/>
  <c r="S473"/>
  <c r="S468"/>
  <c r="S463"/>
  <c r="S458"/>
  <c r="S453"/>
  <c r="S448"/>
  <c r="S443"/>
  <c r="S438"/>
  <c r="S433"/>
  <c r="S428"/>
  <c r="S413"/>
  <c r="S408"/>
  <c r="S403"/>
  <c r="S398"/>
  <c r="S393"/>
  <c r="S388"/>
  <c r="S383"/>
  <c r="S378"/>
  <c r="S373"/>
  <c r="S368"/>
  <c r="S353"/>
  <c r="S348"/>
  <c r="S343"/>
  <c r="S338"/>
  <c r="S333"/>
  <c r="S328"/>
  <c r="S323"/>
  <c r="S318"/>
  <c r="S313"/>
  <c r="S308"/>
  <c r="S293"/>
  <c r="S288"/>
  <c r="S283"/>
  <c r="S278"/>
  <c r="S273"/>
  <c r="S268"/>
  <c r="S263"/>
  <c r="S258"/>
  <c r="S253"/>
  <c r="S248"/>
  <c r="S233"/>
  <c r="S228"/>
  <c r="S223"/>
  <c r="S218"/>
  <c r="S213"/>
  <c r="S208"/>
  <c r="S203"/>
  <c r="S198"/>
  <c r="S193"/>
  <c r="S188"/>
  <c r="S173"/>
  <c r="S168"/>
  <c r="S163"/>
  <c r="S158"/>
  <c r="S153"/>
  <c r="S148"/>
  <c r="S143"/>
  <c r="S138"/>
  <c r="S133"/>
  <c r="S128"/>
  <c r="S113"/>
  <c r="S108"/>
  <c r="S103"/>
  <c r="S98"/>
  <c r="S93"/>
  <c r="S88"/>
  <c r="S83"/>
  <c r="S78"/>
  <c r="S73"/>
  <c r="Q68"/>
  <c r="Q773"/>
  <c r="Q768"/>
  <c r="Q763"/>
  <c r="Q758"/>
  <c r="Q753"/>
  <c r="Q748"/>
  <c r="Q743"/>
  <c r="Q738"/>
  <c r="Q733"/>
  <c r="Q728"/>
  <c r="Q713"/>
  <c r="Q708"/>
  <c r="Q703"/>
  <c r="Q698"/>
  <c r="Q693"/>
  <c r="Q688"/>
  <c r="Q683"/>
  <c r="Q678"/>
  <c r="Q673"/>
  <c r="Q668"/>
  <c r="Q653"/>
  <c r="Q648"/>
  <c r="Q643"/>
  <c r="Q638"/>
  <c r="Q633"/>
  <c r="Q628"/>
  <c r="Q623"/>
  <c r="Q618"/>
  <c r="Q613"/>
  <c r="Q608"/>
  <c r="Q593"/>
  <c r="Q588"/>
  <c r="Q583"/>
  <c r="Q578"/>
  <c r="Q573"/>
  <c r="Q568"/>
  <c r="Q563"/>
  <c r="Q558"/>
  <c r="Q553"/>
  <c r="Q548"/>
  <c r="Q533"/>
  <c r="Q528"/>
  <c r="Q523"/>
  <c r="Q518"/>
  <c r="Q513"/>
  <c r="Q508"/>
  <c r="Q503"/>
  <c r="Q498"/>
  <c r="Q493"/>
  <c r="Q488"/>
  <c r="Q473"/>
  <c r="Q468"/>
  <c r="Q463"/>
  <c r="Q458"/>
  <c r="Q453"/>
  <c r="Q448"/>
  <c r="Q443"/>
  <c r="Q438"/>
  <c r="Q433"/>
  <c r="Q428"/>
  <c r="Q413"/>
  <c r="Q408"/>
  <c r="Q403"/>
  <c r="Q398"/>
  <c r="Q393"/>
  <c r="Q388"/>
  <c r="Q383"/>
  <c r="Q378"/>
  <c r="Q373"/>
  <c r="Q368"/>
  <c r="Q353"/>
  <c r="Q348"/>
  <c r="Q343"/>
  <c r="Q338"/>
  <c r="Q333"/>
  <c r="Q328"/>
  <c r="Q323"/>
  <c r="Q318"/>
  <c r="Q313"/>
  <c r="Q308"/>
  <c r="Q293"/>
  <c r="Q288"/>
  <c r="Q283"/>
  <c r="Q278"/>
  <c r="Q273"/>
  <c r="Q268"/>
  <c r="Q263"/>
  <c r="Q258"/>
  <c r="Q253"/>
  <c r="Q248"/>
  <c r="Q233"/>
  <c r="Q228"/>
  <c r="Q223"/>
  <c r="Q218"/>
  <c r="Q213"/>
  <c r="Q208"/>
  <c r="Q203"/>
  <c r="Q198"/>
  <c r="Q193"/>
  <c r="Q188"/>
  <c r="Q173"/>
  <c r="Q168"/>
  <c r="Q163"/>
  <c r="Q158"/>
  <c r="Q153"/>
  <c r="Q148"/>
  <c r="Q143"/>
  <c r="Q138"/>
  <c r="Q133"/>
  <c r="Q128"/>
  <c r="Q113"/>
  <c r="Q108"/>
  <c r="Q103"/>
  <c r="Q98"/>
  <c r="Q93"/>
  <c r="Q88"/>
  <c r="Q83"/>
  <c r="Q78"/>
  <c r="Q73"/>
  <c r="I1"/>
  <c r="I6"/>
  <c r="I61"/>
  <c r="I66"/>
  <c r="I121"/>
  <c r="I126"/>
  <c r="I181"/>
  <c r="I186"/>
  <c r="I241"/>
  <c r="I246"/>
  <c r="I301"/>
  <c r="I306"/>
  <c r="I361"/>
  <c r="I366"/>
  <c r="I421"/>
  <c r="I426"/>
  <c r="I481"/>
  <c r="I486"/>
  <c r="I541"/>
  <c r="I546"/>
  <c r="I601"/>
  <c r="I606"/>
  <c r="I661"/>
  <c r="I666"/>
  <c r="I721"/>
  <c r="I726"/>
  <c r="R774"/>
  <c r="R769"/>
  <c r="R764"/>
  <c r="R759"/>
  <c r="R754"/>
  <c r="R749"/>
  <c r="R744"/>
  <c r="R739"/>
  <c r="R714"/>
  <c r="R709"/>
  <c r="R704"/>
  <c r="R699"/>
  <c r="R694"/>
  <c r="R689"/>
  <c r="R684"/>
  <c r="R679"/>
  <c r="R654"/>
  <c r="R649"/>
  <c r="R644"/>
  <c r="R639"/>
  <c r="R634"/>
  <c r="R629"/>
  <c r="R624"/>
  <c r="R619"/>
  <c r="R594"/>
  <c r="R589"/>
  <c r="R584"/>
  <c r="R579"/>
  <c r="R574"/>
  <c r="R569"/>
  <c r="R564"/>
  <c r="R559"/>
  <c r="R534"/>
  <c r="R529"/>
  <c r="R524"/>
  <c r="R519"/>
  <c r="R514"/>
  <c r="R509"/>
  <c r="R504"/>
  <c r="R499"/>
  <c r="R474"/>
  <c r="R469"/>
  <c r="R464"/>
  <c r="R459"/>
  <c r="R454"/>
  <c r="R449"/>
  <c r="R444"/>
  <c r="R439"/>
  <c r="R414"/>
  <c r="R409"/>
  <c r="R404"/>
  <c r="R399"/>
  <c r="R394"/>
  <c r="R389"/>
  <c r="R384"/>
  <c r="R379"/>
  <c r="R354"/>
  <c r="R349"/>
  <c r="R344"/>
  <c r="R339"/>
  <c r="R334"/>
  <c r="R329"/>
  <c r="R324"/>
  <c r="R319"/>
  <c r="R294"/>
  <c r="R289"/>
  <c r="R284"/>
  <c r="R279"/>
  <c r="R274"/>
  <c r="R269"/>
  <c r="R264"/>
  <c r="R259"/>
  <c r="R234"/>
  <c r="R229"/>
  <c r="R224"/>
  <c r="R219"/>
  <c r="R214"/>
  <c r="R209"/>
  <c r="R204"/>
  <c r="R199"/>
  <c r="R174"/>
  <c r="R169"/>
  <c r="R164"/>
  <c r="R159"/>
  <c r="R154"/>
  <c r="R149"/>
  <c r="R144"/>
  <c r="R139"/>
  <c r="R114"/>
  <c r="R109"/>
  <c r="R104"/>
  <c r="R99"/>
  <c r="R94"/>
  <c r="R89"/>
  <c r="R84"/>
  <c r="R79"/>
  <c r="D726"/>
  <c r="D666"/>
  <c r="D606"/>
  <c r="D546"/>
  <c r="D486"/>
  <c r="D426"/>
  <c r="D366"/>
  <c r="D306"/>
  <c r="D246"/>
  <c r="D186"/>
  <c r="D126"/>
  <c r="D66"/>
  <c r="A721"/>
  <c r="A661"/>
  <c r="A601"/>
  <c r="A541"/>
  <c r="A481"/>
  <c r="A421"/>
  <c r="A361"/>
  <c r="A301"/>
  <c r="A241"/>
  <c r="A181"/>
  <c r="A121"/>
  <c r="A115"/>
  <c r="A175"/>
  <c r="A235"/>
  <c r="A295"/>
  <c r="A355"/>
  <c r="A415"/>
  <c r="A475"/>
  <c r="A535"/>
  <c r="A595"/>
  <c r="A655"/>
  <c r="A715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09"/>
  <c r="F708"/>
  <c r="F649"/>
  <c r="F648"/>
  <c r="F589"/>
  <c r="F588"/>
  <c r="F529"/>
  <c r="F528"/>
  <c r="F469"/>
  <c r="F468"/>
  <c r="F409"/>
  <c r="F408"/>
  <c r="F349"/>
  <c r="F348"/>
  <c r="F289"/>
  <c r="F288"/>
  <c r="F229"/>
  <c r="F228"/>
  <c r="F169"/>
  <c r="F16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16"/>
  <c r="A713"/>
  <c r="A712"/>
  <c r="A711"/>
  <c r="A710"/>
  <c r="A709"/>
  <c r="A708"/>
  <c r="A707"/>
  <c r="A706"/>
  <c r="A705"/>
  <c r="A704"/>
  <c r="A703"/>
  <c r="A691"/>
  <c r="A686"/>
  <c r="A685"/>
  <c r="A683"/>
  <c r="A682"/>
  <c r="A681"/>
  <c r="A680"/>
  <c r="A679"/>
  <c r="A656"/>
  <c r="A653"/>
  <c r="A652"/>
  <c r="A651"/>
  <c r="A650"/>
  <c r="A649"/>
  <c r="A648"/>
  <c r="A647"/>
  <c r="A646"/>
  <c r="A645"/>
  <c r="A644"/>
  <c r="A643"/>
  <c r="A631"/>
  <c r="A626"/>
  <c r="A625"/>
  <c r="A623"/>
  <c r="A622"/>
  <c r="A621"/>
  <c r="A620"/>
  <c r="A619"/>
  <c r="A596"/>
  <c r="A593"/>
  <c r="A592"/>
  <c r="A591"/>
  <c r="A590"/>
  <c r="A589"/>
  <c r="A588"/>
  <c r="A587"/>
  <c r="A586"/>
  <c r="A585"/>
  <c r="A584"/>
  <c r="A583"/>
  <c r="A571"/>
  <c r="A566"/>
  <c r="A565"/>
  <c r="A563"/>
  <c r="A562"/>
  <c r="A561"/>
  <c r="A560"/>
  <c r="A559"/>
  <c r="A536"/>
  <c r="A533"/>
  <c r="A532"/>
  <c r="A531"/>
  <c r="A530"/>
  <c r="A529"/>
  <c r="A528"/>
  <c r="A527"/>
  <c r="A526"/>
  <c r="A525"/>
  <c r="A524"/>
  <c r="A523"/>
  <c r="A511"/>
  <c r="A506"/>
  <c r="A505"/>
  <c r="A503"/>
  <c r="A502"/>
  <c r="A501"/>
  <c r="A500"/>
  <c r="A499"/>
  <c r="A476"/>
  <c r="A473"/>
  <c r="A472"/>
  <c r="A471"/>
  <c r="A470"/>
  <c r="A469"/>
  <c r="A468"/>
  <c r="A467"/>
  <c r="A466"/>
  <c r="A465"/>
  <c r="A464"/>
  <c r="A463"/>
  <c r="A451"/>
  <c r="A446"/>
  <c r="A445"/>
  <c r="A443"/>
  <c r="A442"/>
  <c r="A441"/>
  <c r="A440"/>
  <c r="A439"/>
  <c r="A416"/>
  <c r="A413"/>
  <c r="A412"/>
  <c r="A411"/>
  <c r="A410"/>
  <c r="A409"/>
  <c r="A408"/>
  <c r="A407"/>
  <c r="A406"/>
  <c r="A405"/>
  <c r="A404"/>
  <c r="A403"/>
  <c r="A391"/>
  <c r="A386"/>
  <c r="A385"/>
  <c r="A383"/>
  <c r="A382"/>
  <c r="A381"/>
  <c r="A380"/>
  <c r="A379"/>
  <c r="A356"/>
  <c r="A353"/>
  <c r="A352"/>
  <c r="A351"/>
  <c r="A350"/>
  <c r="A349"/>
  <c r="A348"/>
  <c r="A347"/>
  <c r="A346"/>
  <c r="A345"/>
  <c r="A344"/>
  <c r="A343"/>
  <c r="A331"/>
  <c r="A326"/>
  <c r="A325"/>
  <c r="A323"/>
  <c r="A322"/>
  <c r="A321"/>
  <c r="A320"/>
  <c r="A319"/>
  <c r="A296"/>
  <c r="A293"/>
  <c r="A292"/>
  <c r="A291"/>
  <c r="A290"/>
  <c r="A289"/>
  <c r="A288"/>
  <c r="A287"/>
  <c r="A286"/>
  <c r="A285"/>
  <c r="A284"/>
  <c r="A283"/>
  <c r="A271"/>
  <c r="A266"/>
  <c r="A265"/>
  <c r="A263"/>
  <c r="A262"/>
  <c r="A261"/>
  <c r="A260"/>
  <c r="A259"/>
  <c r="A236"/>
  <c r="A233"/>
  <c r="A232"/>
  <c r="A231"/>
  <c r="A230"/>
  <c r="A229"/>
  <c r="A228"/>
  <c r="A227"/>
  <c r="A226"/>
  <c r="A225"/>
  <c r="A224"/>
  <c r="A223"/>
  <c r="A211"/>
  <c r="A206"/>
  <c r="A205"/>
  <c r="A203"/>
  <c r="A202"/>
  <c r="A201"/>
  <c r="A200"/>
  <c r="A199"/>
  <c r="A176"/>
  <c r="A173"/>
  <c r="A172"/>
  <c r="A171"/>
  <c r="A170"/>
  <c r="A169"/>
  <c r="A168"/>
  <c r="A167"/>
  <c r="A166"/>
  <c r="A165"/>
  <c r="A164"/>
  <c r="A163"/>
  <c r="A151"/>
  <c r="A146"/>
  <c r="A145"/>
  <c r="A143"/>
  <c r="A142"/>
  <c r="A141"/>
  <c r="A140"/>
  <c r="A139"/>
  <c r="F109"/>
  <c r="F108"/>
  <c r="A116"/>
  <c r="A113"/>
  <c r="A112"/>
  <c r="A111"/>
  <c r="A110"/>
  <c r="A109"/>
  <c r="A108"/>
  <c r="A107"/>
  <c r="A106"/>
  <c r="A105"/>
  <c r="A104"/>
  <c r="A103"/>
  <c r="A91"/>
  <c r="A86"/>
  <c r="A85"/>
  <c r="A83"/>
  <c r="A82"/>
  <c r="A81"/>
  <c r="A80"/>
  <c r="A79"/>
  <c r="A61"/>
  <c r="D517"/>
  <c r="D757"/>
  <c r="O62" i="26"/>
  <c r="O3"/>
  <c r="H16"/>
  <c r="B64"/>
  <c r="B65"/>
  <c r="B66"/>
  <c r="B67"/>
  <c r="O67" s="1"/>
  <c r="C67"/>
  <c r="D67"/>
  <c r="E67"/>
  <c r="F67"/>
  <c r="G67"/>
  <c r="H67"/>
  <c r="I67"/>
  <c r="J67"/>
  <c r="K67"/>
  <c r="L67"/>
  <c r="M67"/>
  <c r="N67"/>
  <c r="B68"/>
  <c r="O68" s="1"/>
  <c r="C68"/>
  <c r="D68"/>
  <c r="E68"/>
  <c r="F68"/>
  <c r="G68"/>
  <c r="H68"/>
  <c r="I68"/>
  <c r="J68"/>
  <c r="K68"/>
  <c r="L68"/>
  <c r="M68"/>
  <c r="N68"/>
  <c r="B69"/>
  <c r="O69" s="1"/>
  <c r="C69"/>
  <c r="D69"/>
  <c r="E69"/>
  <c r="F69"/>
  <c r="G69"/>
  <c r="H69"/>
  <c r="I69"/>
  <c r="J69"/>
  <c r="K69"/>
  <c r="L69"/>
  <c r="M69"/>
  <c r="N69"/>
  <c r="B70"/>
  <c r="O70" s="1"/>
  <c r="C70"/>
  <c r="D70"/>
  <c r="E70"/>
  <c r="F70"/>
  <c r="G70"/>
  <c r="H70"/>
  <c r="I70"/>
  <c r="J70"/>
  <c r="K70"/>
  <c r="L70"/>
  <c r="M70"/>
  <c r="N70"/>
  <c r="B71"/>
  <c r="O71" s="1"/>
  <c r="C71"/>
  <c r="D71"/>
  <c r="E71"/>
  <c r="F71"/>
  <c r="G71"/>
  <c r="H71"/>
  <c r="I71"/>
  <c r="J71"/>
  <c r="K71"/>
  <c r="L71"/>
  <c r="M71"/>
  <c r="N71"/>
  <c r="B72"/>
  <c r="O72" s="1"/>
  <c r="C72"/>
  <c r="D72"/>
  <c r="E72"/>
  <c r="F72"/>
  <c r="G72"/>
  <c r="H72"/>
  <c r="I72"/>
  <c r="J72"/>
  <c r="K72"/>
  <c r="L72"/>
  <c r="M72"/>
  <c r="N72"/>
  <c r="B73"/>
  <c r="O73" s="1"/>
  <c r="C73"/>
  <c r="D73"/>
  <c r="E73"/>
  <c r="F73"/>
  <c r="G73"/>
  <c r="H73"/>
  <c r="I73"/>
  <c r="J73"/>
  <c r="K73"/>
  <c r="L73"/>
  <c r="M73"/>
  <c r="N73"/>
  <c r="B74"/>
  <c r="O74" s="1"/>
  <c r="C74"/>
  <c r="D74"/>
  <c r="E74"/>
  <c r="F74"/>
  <c r="G74"/>
  <c r="H74"/>
  <c r="I74"/>
  <c r="J74"/>
  <c r="K74"/>
  <c r="L74"/>
  <c r="M74"/>
  <c r="N74"/>
  <c r="B75"/>
  <c r="O75" s="1"/>
  <c r="C75"/>
  <c r="D75"/>
  <c r="E75"/>
  <c r="F75"/>
  <c r="G75"/>
  <c r="H75"/>
  <c r="I75"/>
  <c r="J75"/>
  <c r="K75"/>
  <c r="L75"/>
  <c r="M75"/>
  <c r="N75"/>
  <c r="B76"/>
  <c r="O76" s="1"/>
  <c r="C76"/>
  <c r="D76"/>
  <c r="E76"/>
  <c r="F76"/>
  <c r="G76"/>
  <c r="H76"/>
  <c r="I76"/>
  <c r="J76"/>
  <c r="K76"/>
  <c r="L76"/>
  <c r="M76"/>
  <c r="N76"/>
  <c r="B77"/>
  <c r="O77" s="1"/>
  <c r="C77"/>
  <c r="D77"/>
  <c r="E77"/>
  <c r="F77"/>
  <c r="G77"/>
  <c r="H77"/>
  <c r="I77"/>
  <c r="J77"/>
  <c r="K77"/>
  <c r="L77"/>
  <c r="M77"/>
  <c r="N77"/>
  <c r="B78"/>
  <c r="O78" s="1"/>
  <c r="C78"/>
  <c r="D78"/>
  <c r="E78"/>
  <c r="F78"/>
  <c r="G78"/>
  <c r="H78"/>
  <c r="I78"/>
  <c r="J78"/>
  <c r="K78"/>
  <c r="L78"/>
  <c r="M78"/>
  <c r="N78"/>
  <c r="B79"/>
  <c r="O79" s="1"/>
  <c r="C79"/>
  <c r="D79"/>
  <c r="E79"/>
  <c r="F79"/>
  <c r="G79"/>
  <c r="H79"/>
  <c r="I79"/>
  <c r="J79"/>
  <c r="K79"/>
  <c r="L79"/>
  <c r="M79"/>
  <c r="N79"/>
  <c r="B80"/>
  <c r="O80" s="1"/>
  <c r="C80"/>
  <c r="D80"/>
  <c r="E80"/>
  <c r="F80"/>
  <c r="G80"/>
  <c r="H80"/>
  <c r="I80"/>
  <c r="J80"/>
  <c r="K80"/>
  <c r="L80"/>
  <c r="M80"/>
  <c r="N80"/>
  <c r="B81"/>
  <c r="O81" s="1"/>
  <c r="C81"/>
  <c r="D81"/>
  <c r="E81"/>
  <c r="F81"/>
  <c r="G81"/>
  <c r="H81"/>
  <c r="I81"/>
  <c r="J81"/>
  <c r="K81"/>
  <c r="L81"/>
  <c r="M81"/>
  <c r="N81"/>
  <c r="B82"/>
  <c r="O82" s="1"/>
  <c r="C82"/>
  <c r="D82"/>
  <c r="E82"/>
  <c r="F82"/>
  <c r="G82"/>
  <c r="H82"/>
  <c r="I82"/>
  <c r="J82"/>
  <c r="K82"/>
  <c r="L82"/>
  <c r="M82"/>
  <c r="N82"/>
  <c r="B83"/>
  <c r="O83" s="1"/>
  <c r="C83"/>
  <c r="D83"/>
  <c r="E83"/>
  <c r="F83"/>
  <c r="G83"/>
  <c r="H83"/>
  <c r="I83"/>
  <c r="J83"/>
  <c r="K83"/>
  <c r="L83"/>
  <c r="M83"/>
  <c r="N83"/>
  <c r="B84"/>
  <c r="O84" s="1"/>
  <c r="C84"/>
  <c r="D84"/>
  <c r="E84"/>
  <c r="F84"/>
  <c r="G84"/>
  <c r="H84"/>
  <c r="I84"/>
  <c r="J84"/>
  <c r="K84"/>
  <c r="L84"/>
  <c r="M84"/>
  <c r="N84"/>
  <c r="B85"/>
  <c r="O85" s="1"/>
  <c r="C85"/>
  <c r="D85"/>
  <c r="E85"/>
  <c r="F85"/>
  <c r="G85"/>
  <c r="H85"/>
  <c r="I85"/>
  <c r="J85"/>
  <c r="K85"/>
  <c r="L85"/>
  <c r="M85"/>
  <c r="N85"/>
  <c r="B86"/>
  <c r="O86" s="1"/>
  <c r="C86"/>
  <c r="D86"/>
  <c r="E86"/>
  <c r="F86"/>
  <c r="G86"/>
  <c r="H86"/>
  <c r="I86"/>
  <c r="J86"/>
  <c r="K86"/>
  <c r="L86"/>
  <c r="M86"/>
  <c r="N86"/>
  <c r="B87"/>
  <c r="O87" s="1"/>
  <c r="C87"/>
  <c r="D87"/>
  <c r="E87"/>
  <c r="F87"/>
  <c r="G87"/>
  <c r="H87"/>
  <c r="I87"/>
  <c r="J87"/>
  <c r="K87"/>
  <c r="L87"/>
  <c r="M87"/>
  <c r="N87"/>
  <c r="B88"/>
  <c r="B89"/>
  <c r="B90"/>
  <c r="B91"/>
  <c r="B92"/>
  <c r="B93"/>
  <c r="B94"/>
  <c r="B95"/>
  <c r="B96"/>
  <c r="B97"/>
  <c r="B98"/>
  <c r="B99"/>
  <c r="B100"/>
  <c r="B101"/>
  <c r="C101"/>
  <c r="D101"/>
  <c r="E101"/>
  <c r="F101"/>
  <c r="G101"/>
  <c r="H101"/>
  <c r="I101"/>
  <c r="J101"/>
  <c r="K101"/>
  <c r="L101"/>
  <c r="M101"/>
  <c r="N101"/>
  <c r="O101"/>
  <c r="B102"/>
  <c r="B103"/>
  <c r="B104"/>
  <c r="C104"/>
  <c r="D104"/>
  <c r="E104"/>
  <c r="F104"/>
  <c r="G104"/>
  <c r="H104"/>
  <c r="I104"/>
  <c r="J104"/>
  <c r="K104"/>
  <c r="L104"/>
  <c r="M104"/>
  <c r="N104"/>
  <c r="O104"/>
  <c r="B105"/>
  <c r="C105"/>
  <c r="D105"/>
  <c r="E105"/>
  <c r="F105"/>
  <c r="G105"/>
  <c r="H105"/>
  <c r="I105"/>
  <c r="J105"/>
  <c r="K105"/>
  <c r="L105"/>
  <c r="M105"/>
  <c r="N105"/>
  <c r="O105"/>
  <c r="B106"/>
  <c r="B107"/>
  <c r="B108"/>
  <c r="B109"/>
  <c r="B110"/>
  <c r="B111"/>
  <c r="B112"/>
  <c r="B113"/>
  <c r="B63"/>
  <c r="B5"/>
  <c r="B6"/>
  <c r="C6"/>
  <c r="D6"/>
  <c r="E6"/>
  <c r="F6"/>
  <c r="G6"/>
  <c r="H6"/>
  <c r="I6"/>
  <c r="J6"/>
  <c r="K6"/>
  <c r="L6"/>
  <c r="M6"/>
  <c r="N6"/>
  <c r="O6"/>
  <c r="B7"/>
  <c r="C7"/>
  <c r="D7"/>
  <c r="E7"/>
  <c r="F7"/>
  <c r="G7"/>
  <c r="H7"/>
  <c r="I7"/>
  <c r="J7"/>
  <c r="K7"/>
  <c r="L7"/>
  <c r="M7"/>
  <c r="N7"/>
  <c r="O7"/>
  <c r="B8"/>
  <c r="C8"/>
  <c r="D8"/>
  <c r="E8"/>
  <c r="F8"/>
  <c r="G8"/>
  <c r="H8"/>
  <c r="I8"/>
  <c r="J8"/>
  <c r="K8"/>
  <c r="L8"/>
  <c r="M8"/>
  <c r="N8"/>
  <c r="O8"/>
  <c r="B9"/>
  <c r="C9"/>
  <c r="D9"/>
  <c r="E9"/>
  <c r="F9"/>
  <c r="G9"/>
  <c r="H9"/>
  <c r="I9"/>
  <c r="J9"/>
  <c r="K9"/>
  <c r="L9"/>
  <c r="M9"/>
  <c r="N9"/>
  <c r="O9"/>
  <c r="B10"/>
  <c r="C10"/>
  <c r="D10"/>
  <c r="E10"/>
  <c r="F10"/>
  <c r="G10"/>
  <c r="H10"/>
  <c r="I10"/>
  <c r="J10"/>
  <c r="K10"/>
  <c r="L10"/>
  <c r="M10"/>
  <c r="N10"/>
  <c r="O10"/>
  <c r="B11"/>
  <c r="C11"/>
  <c r="D11"/>
  <c r="E11"/>
  <c r="F11"/>
  <c r="G11"/>
  <c r="H11"/>
  <c r="I11"/>
  <c r="J11"/>
  <c r="K11"/>
  <c r="L11"/>
  <c r="M11"/>
  <c r="N11"/>
  <c r="O11"/>
  <c r="B12"/>
  <c r="C12"/>
  <c r="D12"/>
  <c r="E12"/>
  <c r="F12"/>
  <c r="G12"/>
  <c r="H12"/>
  <c r="I12"/>
  <c r="J12"/>
  <c r="K12"/>
  <c r="L12"/>
  <c r="M12"/>
  <c r="N12"/>
  <c r="O12"/>
  <c r="B13"/>
  <c r="C13"/>
  <c r="D13"/>
  <c r="E13"/>
  <c r="F13"/>
  <c r="G13"/>
  <c r="H13"/>
  <c r="I13"/>
  <c r="J13"/>
  <c r="K13"/>
  <c r="L13"/>
  <c r="M13"/>
  <c r="N13"/>
  <c r="O13"/>
  <c r="B14"/>
  <c r="C14"/>
  <c r="D14"/>
  <c r="E14"/>
  <c r="F14"/>
  <c r="G14"/>
  <c r="H14"/>
  <c r="I14"/>
  <c r="J14"/>
  <c r="K14"/>
  <c r="L14"/>
  <c r="M14"/>
  <c r="N14"/>
  <c r="O14"/>
  <c r="B15"/>
  <c r="C15"/>
  <c r="D15"/>
  <c r="E15"/>
  <c r="F15"/>
  <c r="G15"/>
  <c r="H15"/>
  <c r="I15"/>
  <c r="J15"/>
  <c r="K15"/>
  <c r="L15"/>
  <c r="M15"/>
  <c r="N15"/>
  <c r="O15"/>
  <c r="B16"/>
  <c r="C16"/>
  <c r="D16"/>
  <c r="E16"/>
  <c r="F16"/>
  <c r="G16"/>
  <c r="I16"/>
  <c r="J16"/>
  <c r="K16"/>
  <c r="L16"/>
  <c r="M16"/>
  <c r="N16"/>
  <c r="O16"/>
  <c r="B17"/>
  <c r="O17" s="1"/>
  <c r="C17"/>
  <c r="D17"/>
  <c r="E17"/>
  <c r="F17"/>
  <c r="G17"/>
  <c r="H17"/>
  <c r="I17"/>
  <c r="J17"/>
  <c r="K17"/>
  <c r="L17"/>
  <c r="M17"/>
  <c r="N17"/>
  <c r="B18"/>
  <c r="O18" s="1"/>
  <c r="B19"/>
  <c r="O19" s="1"/>
  <c r="B20"/>
  <c r="O20" s="1"/>
  <c r="B21"/>
  <c r="O21" s="1"/>
  <c r="C21"/>
  <c r="D21"/>
  <c r="E21"/>
  <c r="F21"/>
  <c r="G21"/>
  <c r="H21"/>
  <c r="I21"/>
  <c r="J21"/>
  <c r="K21"/>
  <c r="L21"/>
  <c r="M21"/>
  <c r="N21"/>
  <c r="B22"/>
  <c r="O22" s="1"/>
  <c r="B23"/>
  <c r="O23" s="1"/>
  <c r="B24"/>
  <c r="O24" s="1"/>
  <c r="C24"/>
  <c r="D24"/>
  <c r="E24"/>
  <c r="F24"/>
  <c r="G24"/>
  <c r="H24"/>
  <c r="I24"/>
  <c r="J24"/>
  <c r="K24"/>
  <c r="L24"/>
  <c r="M24"/>
  <c r="N24"/>
  <c r="B25"/>
  <c r="O25" s="1"/>
  <c r="C25"/>
  <c r="D25"/>
  <c r="E25"/>
  <c r="F25"/>
  <c r="G25"/>
  <c r="H25"/>
  <c r="I25"/>
  <c r="J25"/>
  <c r="K25"/>
  <c r="L25"/>
  <c r="M25"/>
  <c r="N25"/>
  <c r="B26"/>
  <c r="O26" s="1"/>
  <c r="C26"/>
  <c r="D26"/>
  <c r="E26"/>
  <c r="F26"/>
  <c r="G26"/>
  <c r="H26"/>
  <c r="I26"/>
  <c r="J26"/>
  <c r="K26"/>
  <c r="L26"/>
  <c r="M26"/>
  <c r="N26"/>
  <c r="B27"/>
  <c r="O27" s="1"/>
  <c r="C27"/>
  <c r="D27"/>
  <c r="E27"/>
  <c r="F27"/>
  <c r="G27"/>
  <c r="H27"/>
  <c r="I27"/>
  <c r="J27"/>
  <c r="K27"/>
  <c r="L27"/>
  <c r="M27"/>
  <c r="N27"/>
  <c r="B28"/>
  <c r="O28" s="1"/>
  <c r="B29"/>
  <c r="B30"/>
  <c r="O30" s="1"/>
  <c r="C30"/>
  <c r="D30"/>
  <c r="E30"/>
  <c r="F30"/>
  <c r="G30"/>
  <c r="H30"/>
  <c r="I30"/>
  <c r="J30"/>
  <c r="K30"/>
  <c r="L30"/>
  <c r="M30"/>
  <c r="N30"/>
  <c r="B31"/>
  <c r="O31" s="1"/>
  <c r="C31"/>
  <c r="D31"/>
  <c r="E31"/>
  <c r="F31"/>
  <c r="G31"/>
  <c r="H31"/>
  <c r="I31"/>
  <c r="J31"/>
  <c r="K31"/>
  <c r="L31"/>
  <c r="M31"/>
  <c r="N31"/>
  <c r="B32"/>
  <c r="O32" s="1"/>
  <c r="C32"/>
  <c r="D32"/>
  <c r="E32"/>
  <c r="F32"/>
  <c r="G32"/>
  <c r="H32"/>
  <c r="I32"/>
  <c r="J32"/>
  <c r="K32"/>
  <c r="L32"/>
  <c r="M32"/>
  <c r="N32"/>
  <c r="B33"/>
  <c r="O33" s="1"/>
  <c r="C33"/>
  <c r="D33"/>
  <c r="E33"/>
  <c r="F33"/>
  <c r="G33"/>
  <c r="H33"/>
  <c r="I33"/>
  <c r="J33"/>
  <c r="K33"/>
  <c r="L33"/>
  <c r="M33"/>
  <c r="N33"/>
  <c r="B34"/>
  <c r="O34" s="1"/>
  <c r="C34"/>
  <c r="D34"/>
  <c r="E34"/>
  <c r="F34"/>
  <c r="G34"/>
  <c r="H34"/>
  <c r="I34"/>
  <c r="J34"/>
  <c r="L34"/>
  <c r="M34"/>
  <c r="N34"/>
  <c r="B35"/>
  <c r="O35" s="1"/>
  <c r="C35"/>
  <c r="D35"/>
  <c r="E35"/>
  <c r="F35"/>
  <c r="G35"/>
  <c r="H35"/>
  <c r="I35"/>
  <c r="J35"/>
  <c r="K35"/>
  <c r="L35"/>
  <c r="M35"/>
  <c r="N35"/>
  <c r="B36"/>
  <c r="B37"/>
  <c r="O37" s="1"/>
  <c r="C37"/>
  <c r="D37"/>
  <c r="E37"/>
  <c r="F37"/>
  <c r="G37"/>
  <c r="H37"/>
  <c r="I37"/>
  <c r="J37"/>
  <c r="K37"/>
  <c r="L37"/>
  <c r="M37"/>
  <c r="N37"/>
  <c r="B38"/>
  <c r="O38" s="1"/>
  <c r="C38"/>
  <c r="D38"/>
  <c r="E38"/>
  <c r="F38"/>
  <c r="G38"/>
  <c r="H38"/>
  <c r="I38"/>
  <c r="J38"/>
  <c r="K38"/>
  <c r="L38"/>
  <c r="M38"/>
  <c r="N38"/>
  <c r="B39"/>
  <c r="O39" s="1"/>
  <c r="C39"/>
  <c r="D39"/>
  <c r="E39"/>
  <c r="F39"/>
  <c r="G39"/>
  <c r="H39"/>
  <c r="I39"/>
  <c r="J39"/>
  <c r="K39"/>
  <c r="L39"/>
  <c r="M39"/>
  <c r="N39"/>
  <c r="B40"/>
  <c r="O40" s="1"/>
  <c r="C40"/>
  <c r="D40"/>
  <c r="E40"/>
  <c r="F40"/>
  <c r="G40"/>
  <c r="H40"/>
  <c r="I40"/>
  <c r="J40"/>
  <c r="K40"/>
  <c r="L40"/>
  <c r="M40"/>
  <c r="N40"/>
  <c r="B41"/>
  <c r="O41" s="1"/>
  <c r="B42"/>
  <c r="O42" s="1"/>
  <c r="B43"/>
  <c r="O43" s="1"/>
  <c r="B44"/>
  <c r="O44" s="1"/>
  <c r="B45"/>
  <c r="O45" s="1"/>
  <c r="B46"/>
  <c r="O46" s="1"/>
  <c r="B47"/>
  <c r="O47" s="1"/>
  <c r="B48"/>
  <c r="O48" s="1"/>
  <c r="B49"/>
  <c r="O49" s="1"/>
  <c r="B50"/>
  <c r="O50" s="1"/>
  <c r="B51"/>
  <c r="B52"/>
  <c r="O52" s="1"/>
  <c r="B53"/>
  <c r="O53" s="1"/>
  <c r="B54"/>
  <c r="B4"/>
  <c r="D18"/>
  <c r="D19"/>
  <c r="D20"/>
  <c r="D22"/>
  <c r="D23"/>
  <c r="D28"/>
  <c r="D41"/>
  <c r="D42"/>
  <c r="D43"/>
  <c r="D44"/>
  <c r="D45"/>
  <c r="D46"/>
  <c r="D47"/>
  <c r="D48"/>
  <c r="D49"/>
  <c r="D50"/>
  <c r="D52"/>
  <c r="D53"/>
  <c r="E18"/>
  <c r="E19"/>
  <c r="E20"/>
  <c r="E22"/>
  <c r="E23"/>
  <c r="E28"/>
  <c r="E41"/>
  <c r="E42"/>
  <c r="E43"/>
  <c r="E44"/>
  <c r="E45"/>
  <c r="E46"/>
  <c r="E47"/>
  <c r="E48"/>
  <c r="E49"/>
  <c r="E50"/>
  <c r="E52"/>
  <c r="E53"/>
  <c r="F18"/>
  <c r="F19"/>
  <c r="F20"/>
  <c r="F22"/>
  <c r="F23"/>
  <c r="F28"/>
  <c r="F41"/>
  <c r="F42"/>
  <c r="F43"/>
  <c r="F44"/>
  <c r="F45"/>
  <c r="F46"/>
  <c r="F47"/>
  <c r="F48"/>
  <c r="F49"/>
  <c r="F50"/>
  <c r="F52"/>
  <c r="F53"/>
  <c r="G18"/>
  <c r="G19"/>
  <c r="G20"/>
  <c r="G22"/>
  <c r="G23"/>
  <c r="G28"/>
  <c r="G41"/>
  <c r="G42"/>
  <c r="G43"/>
  <c r="G44"/>
  <c r="G45"/>
  <c r="G46"/>
  <c r="G47"/>
  <c r="G48"/>
  <c r="G49"/>
  <c r="G50"/>
  <c r="G52"/>
  <c r="G53"/>
  <c r="H18"/>
  <c r="H19"/>
  <c r="H20"/>
  <c r="H22"/>
  <c r="H23"/>
  <c r="H28"/>
  <c r="H41"/>
  <c r="H42"/>
  <c r="H43"/>
  <c r="H44"/>
  <c r="H45"/>
  <c r="H46"/>
  <c r="H47"/>
  <c r="H48"/>
  <c r="H49"/>
  <c r="H50"/>
  <c r="H52"/>
  <c r="H53"/>
  <c r="I18"/>
  <c r="I19"/>
  <c r="I20"/>
  <c r="I22"/>
  <c r="I23"/>
  <c r="I28"/>
  <c r="I41"/>
  <c r="I42"/>
  <c r="I43"/>
  <c r="I44"/>
  <c r="I45"/>
  <c r="I46"/>
  <c r="I47"/>
  <c r="I48"/>
  <c r="I49"/>
  <c r="I50"/>
  <c r="I52"/>
  <c r="I53"/>
  <c r="J18"/>
  <c r="J19"/>
  <c r="J20"/>
  <c r="J22"/>
  <c r="J23"/>
  <c r="J28"/>
  <c r="J41"/>
  <c r="J42"/>
  <c r="J43"/>
  <c r="J44"/>
  <c r="J45"/>
  <c r="J46"/>
  <c r="J47"/>
  <c r="J48"/>
  <c r="J49"/>
  <c r="J50"/>
  <c r="J52"/>
  <c r="J53"/>
  <c r="K18"/>
  <c r="K19"/>
  <c r="K20"/>
  <c r="K22"/>
  <c r="K23"/>
  <c r="K28"/>
  <c r="K41"/>
  <c r="K42"/>
  <c r="K43"/>
  <c r="K44"/>
  <c r="K45"/>
  <c r="K46"/>
  <c r="K47"/>
  <c r="K48"/>
  <c r="K49"/>
  <c r="K50"/>
  <c r="K52"/>
  <c r="K53"/>
  <c r="L18"/>
  <c r="L19"/>
  <c r="L20"/>
  <c r="L22"/>
  <c r="L23"/>
  <c r="L28"/>
  <c r="L41"/>
  <c r="L42"/>
  <c r="L43"/>
  <c r="L44"/>
  <c r="L45"/>
  <c r="L46"/>
  <c r="L47"/>
  <c r="L48"/>
  <c r="L49"/>
  <c r="L50"/>
  <c r="L52"/>
  <c r="L53"/>
  <c r="M18"/>
  <c r="M19"/>
  <c r="M20"/>
  <c r="M22"/>
  <c r="M23"/>
  <c r="M28"/>
  <c r="M41"/>
  <c r="M42"/>
  <c r="M43"/>
  <c r="M44"/>
  <c r="M45"/>
  <c r="M46"/>
  <c r="M47"/>
  <c r="M48"/>
  <c r="M49"/>
  <c r="M50"/>
  <c r="M52"/>
  <c r="M53"/>
  <c r="N18"/>
  <c r="N19"/>
  <c r="N20"/>
  <c r="N22"/>
  <c r="N23"/>
  <c r="N28"/>
  <c r="N41"/>
  <c r="N42"/>
  <c r="N43"/>
  <c r="N44"/>
  <c r="N45"/>
  <c r="N46"/>
  <c r="N47"/>
  <c r="N48"/>
  <c r="N49"/>
  <c r="N50"/>
  <c r="N52"/>
  <c r="N53"/>
  <c r="C18"/>
  <c r="C19"/>
  <c r="C20"/>
  <c r="C22"/>
  <c r="C23"/>
  <c r="C28"/>
  <c r="C41"/>
  <c r="C42"/>
  <c r="C43"/>
  <c r="C44"/>
  <c r="C45"/>
  <c r="C46"/>
  <c r="C47"/>
  <c r="C48"/>
  <c r="C49"/>
  <c r="C50"/>
  <c r="C52"/>
  <c r="C5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63"/>
  <c r="K34"/>
  <c r="I36" i="6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I36" i="4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I36" i="12"/>
  <c r="J36"/>
  <c r="I37"/>
  <c r="J37"/>
  <c r="I38"/>
  <c r="J38"/>
  <c r="I39"/>
  <c r="J39"/>
  <c r="N11"/>
  <c r="I35"/>
  <c r="J35"/>
  <c r="I33"/>
  <c r="J33"/>
  <c r="I34"/>
  <c r="J34"/>
  <c r="I32"/>
  <c r="J32"/>
  <c r="I31"/>
  <c r="J31"/>
  <c r="I30"/>
  <c r="J30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B9"/>
  <c r="B6"/>
  <c r="A1"/>
  <c r="K1"/>
  <c r="A6"/>
  <c r="J9"/>
  <c r="J16"/>
  <c r="J15"/>
  <c r="I16"/>
  <c r="I15"/>
  <c r="K11"/>
  <c r="G11"/>
  <c r="E11"/>
  <c r="I36" i="11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I36" i="10"/>
  <c r="J36"/>
  <c r="I37"/>
  <c r="J37"/>
  <c r="I38"/>
  <c r="J38"/>
  <c r="I39"/>
  <c r="J39"/>
  <c r="N11"/>
  <c r="I35"/>
  <c r="J35"/>
  <c r="I34"/>
  <c r="J34"/>
  <c r="I33"/>
  <c r="J33"/>
  <c r="I32"/>
  <c r="J32"/>
  <c r="I31"/>
  <c r="J31"/>
  <c r="L11"/>
  <c r="M1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B9"/>
  <c r="B6"/>
  <c r="A1"/>
  <c r="K1"/>
  <c r="A6"/>
  <c r="J9"/>
  <c r="J16"/>
  <c r="J15"/>
  <c r="I16"/>
  <c r="I15"/>
  <c r="K11"/>
  <c r="G11"/>
  <c r="E11"/>
  <c r="B62" i="14"/>
  <c r="B61"/>
  <c r="B60"/>
  <c r="B59"/>
  <c r="B58"/>
  <c r="B57"/>
  <c r="B56"/>
  <c r="B55"/>
  <c r="B54"/>
  <c r="B53"/>
  <c r="B52"/>
  <c r="B51"/>
  <c r="D50"/>
  <c r="C50"/>
  <c r="B50"/>
  <c r="C48"/>
  <c r="R50"/>
  <c r="Q50"/>
  <c r="AZ62"/>
  <c r="AZ61"/>
  <c r="AZ60"/>
  <c r="AZ59"/>
  <c r="AZ58"/>
  <c r="AZ57"/>
  <c r="AZ56"/>
  <c r="AZ55"/>
  <c r="AZ54"/>
  <c r="AZ53"/>
  <c r="AZ52"/>
  <c r="AZ51"/>
  <c r="AZ50"/>
  <c r="AZ158"/>
  <c r="AZ157"/>
  <c r="AZ156"/>
  <c r="AZ155"/>
  <c r="AZ154"/>
  <c r="AZ153"/>
  <c r="AZ152"/>
  <c r="AZ151"/>
  <c r="AZ150"/>
  <c r="AZ149"/>
  <c r="AZ148"/>
  <c r="AZ147"/>
  <c r="AZ146"/>
  <c r="AZ145"/>
  <c r="AZ144"/>
  <c r="AZ143"/>
  <c r="AZ142"/>
  <c r="AZ141"/>
  <c r="AZ140"/>
  <c r="AZ139"/>
  <c r="AZ138"/>
  <c r="AZ137"/>
  <c r="AZ136"/>
  <c r="AZ135"/>
  <c r="AZ134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BA48"/>
  <c r="AV62"/>
  <c r="AV61"/>
  <c r="AV60"/>
  <c r="AV59"/>
  <c r="AV58"/>
  <c r="AV57"/>
  <c r="AV56"/>
  <c r="AV55"/>
  <c r="AV54"/>
  <c r="AV53"/>
  <c r="AV52"/>
  <c r="AV51"/>
  <c r="AV50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W48"/>
  <c r="AR62"/>
  <c r="AR61"/>
  <c r="AR60"/>
  <c r="AR59"/>
  <c r="AR58"/>
  <c r="AR57"/>
  <c r="AR56"/>
  <c r="AR55"/>
  <c r="AR54"/>
  <c r="AR53"/>
  <c r="AR52"/>
  <c r="AR51"/>
  <c r="AR50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S48"/>
  <c r="AN62"/>
  <c r="AN61"/>
  <c r="AN60"/>
  <c r="AN59"/>
  <c r="AN58"/>
  <c r="AN57"/>
  <c r="AN56"/>
  <c r="AN55"/>
  <c r="AN54"/>
  <c r="AN53"/>
  <c r="AN52"/>
  <c r="AN51"/>
  <c r="AN50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O48"/>
  <c r="AJ62"/>
  <c r="AJ61"/>
  <c r="AJ60"/>
  <c r="AJ59"/>
  <c r="AJ58"/>
  <c r="AJ57"/>
  <c r="AJ56"/>
  <c r="AJ55"/>
  <c r="AJ54"/>
  <c r="AJ53"/>
  <c r="AJ52"/>
  <c r="AJ51"/>
  <c r="AJ50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K48"/>
  <c r="AF62"/>
  <c r="AF61"/>
  <c r="AF60"/>
  <c r="AF59"/>
  <c r="AF58"/>
  <c r="AF57"/>
  <c r="AF56"/>
  <c r="AF55"/>
  <c r="AF54"/>
  <c r="AF53"/>
  <c r="AF52"/>
  <c r="AF51"/>
  <c r="AF50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G48"/>
  <c r="AB50"/>
  <c r="AB62"/>
  <c r="AB61"/>
  <c r="AB60"/>
  <c r="AB59"/>
  <c r="AB58"/>
  <c r="AB57"/>
  <c r="AB56"/>
  <c r="AB55"/>
  <c r="AB54"/>
  <c r="AB53"/>
  <c r="AB52"/>
  <c r="AB51"/>
  <c r="AB74"/>
  <c r="AB73"/>
  <c r="AB72"/>
  <c r="AB71"/>
  <c r="AB70"/>
  <c r="AB69"/>
  <c r="AB68"/>
  <c r="AB67"/>
  <c r="AB66"/>
  <c r="AB65"/>
  <c r="AB64"/>
  <c r="AB63"/>
  <c r="P62"/>
  <c r="P61"/>
  <c r="P60"/>
  <c r="P59"/>
  <c r="P58"/>
  <c r="P57"/>
  <c r="P56"/>
  <c r="P55"/>
  <c r="P54"/>
  <c r="P53"/>
  <c r="P52"/>
  <c r="P51"/>
  <c r="AC48"/>
  <c r="Y48"/>
  <c r="U48"/>
  <c r="A1"/>
  <c r="P50"/>
  <c r="AB86"/>
  <c r="AB85"/>
  <c r="AB84"/>
  <c r="AB83"/>
  <c r="AB82"/>
  <c r="AB81"/>
  <c r="AB80"/>
  <c r="AB79"/>
  <c r="AB78"/>
  <c r="AB77"/>
  <c r="AB76"/>
  <c r="AB75"/>
  <c r="X62"/>
  <c r="X61"/>
  <c r="X60"/>
  <c r="X59"/>
  <c r="X58"/>
  <c r="X57"/>
  <c r="X56"/>
  <c r="X55"/>
  <c r="X54"/>
  <c r="X53"/>
  <c r="X52"/>
  <c r="X51"/>
  <c r="X50"/>
  <c r="X74"/>
  <c r="X73"/>
  <c r="X72"/>
  <c r="X71"/>
  <c r="X70"/>
  <c r="X69"/>
  <c r="X68"/>
  <c r="X67"/>
  <c r="X66"/>
  <c r="X65"/>
  <c r="X64"/>
  <c r="X63"/>
  <c r="T60"/>
  <c r="T59"/>
  <c r="T58"/>
  <c r="T57"/>
  <c r="T56"/>
  <c r="T55"/>
  <c r="T54"/>
  <c r="T53"/>
  <c r="T52"/>
  <c r="T51"/>
  <c r="T50"/>
  <c r="T61"/>
  <c r="T62"/>
  <c r="Q48"/>
  <c r="D12" i="31"/>
  <c r="D11"/>
  <c r="D19"/>
  <c r="D20"/>
  <c r="D13"/>
  <c r="D14"/>
  <c r="D15"/>
  <c r="D16"/>
  <c r="D17"/>
  <c r="D18"/>
  <c r="D24"/>
  <c r="D25"/>
  <c r="D28"/>
  <c r="D29"/>
  <c r="D30"/>
  <c r="D31"/>
  <c r="D32"/>
  <c r="D26"/>
  <c r="D27"/>
  <c r="D33"/>
  <c r="D34"/>
  <c r="D35"/>
  <c r="D36"/>
  <c r="G11"/>
  <c r="G12"/>
  <c r="G21" s="1"/>
  <c r="G19"/>
  <c r="G20"/>
  <c r="G13"/>
  <c r="G14"/>
  <c r="G15"/>
  <c r="G16"/>
  <c r="G17"/>
  <c r="G18"/>
  <c r="A63"/>
  <c r="A1"/>
  <c r="D114"/>
  <c r="E114"/>
  <c r="G114"/>
  <c r="F114"/>
  <c r="F68"/>
  <c r="D68"/>
  <c r="F21"/>
  <c r="E21"/>
  <c r="C21"/>
  <c r="C37"/>
  <c r="B21"/>
  <c r="B37"/>
  <c r="Q34" i="30"/>
  <c r="A88" i="31" s="1"/>
  <c r="Q35" i="30"/>
  <c r="A89" i="31" s="1"/>
  <c r="Q36" i="30"/>
  <c r="A90" i="31" s="1"/>
  <c r="Q37" i="30"/>
  <c r="A91" i="31" s="1"/>
  <c r="Q38" i="30"/>
  <c r="A92" i="31" s="1"/>
  <c r="Q39" i="30"/>
  <c r="A93" i="31" s="1"/>
  <c r="Q40" i="30"/>
  <c r="A94" i="31" s="1"/>
  <c r="Q41" i="30"/>
  <c r="A95" i="31" s="1"/>
  <c r="Q42" i="30"/>
  <c r="A96" i="31" s="1"/>
  <c r="Q43" i="30"/>
  <c r="A97" i="31" s="1"/>
  <c r="Q44" i="30"/>
  <c r="A98" i="31" s="1"/>
  <c r="Q45" i="30"/>
  <c r="A99" i="31" s="1"/>
  <c r="A14" i="30"/>
  <c r="Q16" s="1"/>
  <c r="Q33"/>
  <c r="A87" i="31" s="1"/>
  <c r="Q32" i="30"/>
  <c r="A86" i="31" s="1"/>
  <c r="Q31" i="30"/>
  <c r="A85" i="31" s="1"/>
  <c r="Q30" i="30"/>
  <c r="A84" i="31" s="1"/>
  <c r="Q29" i="30"/>
  <c r="A83" i="31" s="1"/>
  <c r="Q28" i="30"/>
  <c r="A82" i="31" s="1"/>
  <c r="Q27" i="30"/>
  <c r="A81" i="31" s="1"/>
  <c r="Q26" i="30"/>
  <c r="A80" i="31" s="1"/>
  <c r="Q25" i="30"/>
  <c r="A79" i="31" s="1"/>
  <c r="Q24" i="30"/>
  <c r="A78" i="31" s="1"/>
  <c r="Q23" i="30"/>
  <c r="A77" i="31" s="1"/>
  <c r="Q22" i="30"/>
  <c r="A76" i="31" s="1"/>
  <c r="Q21" i="30"/>
  <c r="A75" i="31" s="1"/>
  <c r="Q20" i="30"/>
  <c r="A74" i="31" s="1"/>
  <c r="F4" i="30"/>
  <c r="D17" s="1"/>
  <c r="D19"/>
  <c r="D23"/>
  <c r="D27"/>
  <c r="D38"/>
  <c r="D42"/>
  <c r="D45"/>
  <c r="D47"/>
  <c r="D57"/>
  <c r="D59"/>
  <c r="D61"/>
  <c r="D63"/>
  <c r="D65"/>
  <c r="D67"/>
  <c r="D77"/>
  <c r="D79"/>
  <c r="D81"/>
  <c r="D83"/>
  <c r="D85"/>
  <c r="D87"/>
  <c r="G4"/>
  <c r="K16" s="1"/>
  <c r="K27"/>
  <c r="K38"/>
  <c r="K42"/>
  <c r="K46"/>
  <c r="K59"/>
  <c r="K63"/>
  <c r="K67"/>
  <c r="K78"/>
  <c r="K82"/>
  <c r="K86"/>
  <c r="F5"/>
  <c r="E16" s="1"/>
  <c r="E27"/>
  <c r="E36"/>
  <c r="E38"/>
  <c r="E40"/>
  <c r="E42"/>
  <c r="E44"/>
  <c r="E46"/>
  <c r="E57"/>
  <c r="E59"/>
  <c r="E61"/>
  <c r="E63"/>
  <c r="E65"/>
  <c r="E67"/>
  <c r="E76"/>
  <c r="E78"/>
  <c r="E80"/>
  <c r="E82"/>
  <c r="E84"/>
  <c r="E86"/>
  <c r="G5"/>
  <c r="L16"/>
  <c r="L17"/>
  <c r="L18"/>
  <c r="L19"/>
  <c r="L20"/>
  <c r="L21"/>
  <c r="L22"/>
  <c r="L23"/>
  <c r="L24"/>
  <c r="L25"/>
  <c r="L26"/>
  <c r="L27"/>
  <c r="L36"/>
  <c r="L37"/>
  <c r="L38"/>
  <c r="L39"/>
  <c r="L40"/>
  <c r="L41"/>
  <c r="L42"/>
  <c r="L43"/>
  <c r="L44"/>
  <c r="L45"/>
  <c r="L46"/>
  <c r="L47"/>
  <c r="L56"/>
  <c r="L57"/>
  <c r="L58"/>
  <c r="L59"/>
  <c r="L60"/>
  <c r="L61"/>
  <c r="L62"/>
  <c r="L63"/>
  <c r="L64"/>
  <c r="L65"/>
  <c r="L66"/>
  <c r="L67"/>
  <c r="L76"/>
  <c r="L77"/>
  <c r="L78"/>
  <c r="L79"/>
  <c r="L80"/>
  <c r="L81"/>
  <c r="L82"/>
  <c r="L83"/>
  <c r="L84"/>
  <c r="L85"/>
  <c r="L86"/>
  <c r="L87"/>
  <c r="A74"/>
  <c r="Q19" s="1"/>
  <c r="A73" i="31" s="1"/>
  <c r="X20" i="30"/>
  <c r="F74" i="31" s="1"/>
  <c r="X21" i="30"/>
  <c r="F75" i="31" s="1"/>
  <c r="X22" i="30"/>
  <c r="F76" i="31" s="1"/>
  <c r="X23" i="30"/>
  <c r="F77" i="31" s="1"/>
  <c r="X24" i="30"/>
  <c r="F78" i="31" s="1"/>
  <c r="X25" i="30"/>
  <c r="F79" i="31" s="1"/>
  <c r="X26" i="30"/>
  <c r="F80" i="31" s="1"/>
  <c r="X27" i="30"/>
  <c r="F81" i="31" s="1"/>
  <c r="X28" i="30"/>
  <c r="F82" i="31" s="1"/>
  <c r="X29" i="30"/>
  <c r="F83" i="31" s="1"/>
  <c r="X30" i="30"/>
  <c r="F84" i="31" s="1"/>
  <c r="X31" i="30"/>
  <c r="F85" i="31" s="1"/>
  <c r="X32" i="30"/>
  <c r="F86" i="31" s="1"/>
  <c r="X33" i="30"/>
  <c r="F87" i="31" s="1"/>
  <c r="X34" i="30"/>
  <c r="F88" i="31" s="1"/>
  <c r="X35" i="30"/>
  <c r="F89" i="31" s="1"/>
  <c r="X36" i="30"/>
  <c r="F90" i="31" s="1"/>
  <c r="X37" i="30"/>
  <c r="F91" i="31" s="1"/>
  <c r="X38" i="30"/>
  <c r="F92" i="31" s="1"/>
  <c r="X39" i="30"/>
  <c r="F93" i="31" s="1"/>
  <c r="X40" i="30"/>
  <c r="F94" i="31" s="1"/>
  <c r="X41" i="30"/>
  <c r="F95" i="31" s="1"/>
  <c r="X42" i="30"/>
  <c r="F96" i="31" s="1"/>
  <c r="X43" i="30"/>
  <c r="F97" i="31" s="1"/>
  <c r="X44" i="30"/>
  <c r="F98" i="31" s="1"/>
  <c r="X45" i="30"/>
  <c r="F99" i="31" s="1"/>
  <c r="G81"/>
  <c r="G89"/>
  <c r="S21" i="30"/>
  <c r="D75" i="31" s="1"/>
  <c r="S23" i="30"/>
  <c r="D77" i="31" s="1"/>
  <c r="S25" i="30"/>
  <c r="D79" i="31" s="1"/>
  <c r="S27" i="30"/>
  <c r="D81" i="31" s="1"/>
  <c r="S29" i="30"/>
  <c r="D83" i="31" s="1"/>
  <c r="S31" i="30"/>
  <c r="D85" i="31" s="1"/>
  <c r="S33" i="30"/>
  <c r="D87" i="31" s="1"/>
  <c r="S34" i="30"/>
  <c r="D88" i="31" s="1"/>
  <c r="S35" i="30"/>
  <c r="D89" i="31" s="1"/>
  <c r="S36" i="30"/>
  <c r="D90" i="31" s="1"/>
  <c r="S37" i="30"/>
  <c r="D91" i="31" s="1"/>
  <c r="S38" i="30"/>
  <c r="D92" i="31" s="1"/>
  <c r="S39" i="30"/>
  <c r="D93" i="31" s="1"/>
  <c r="S40" i="30"/>
  <c r="D94" i="31" s="1"/>
  <c r="S41" i="30"/>
  <c r="D95" i="31" s="1"/>
  <c r="S42" i="30"/>
  <c r="D96" i="31" s="1"/>
  <c r="S43" i="30"/>
  <c r="D97" i="31" s="1"/>
  <c r="S44" i="30"/>
  <c r="D98" i="31" s="1"/>
  <c r="S45" i="30"/>
  <c r="D99" i="31" s="1"/>
  <c r="E75"/>
  <c r="E79"/>
  <c r="E83"/>
  <c r="E87"/>
  <c r="E89"/>
  <c r="E91"/>
  <c r="E93"/>
  <c r="E95"/>
  <c r="E97"/>
  <c r="E99"/>
  <c r="J76" i="30"/>
  <c r="J77"/>
  <c r="J78"/>
  <c r="J79"/>
  <c r="J80"/>
  <c r="J81"/>
  <c r="J82"/>
  <c r="J83"/>
  <c r="J84"/>
  <c r="J85"/>
  <c r="J86"/>
  <c r="J87"/>
  <c r="M88"/>
  <c r="C76"/>
  <c r="C77"/>
  <c r="C78"/>
  <c r="C79"/>
  <c r="C80"/>
  <c r="C81"/>
  <c r="C82"/>
  <c r="C83"/>
  <c r="C84"/>
  <c r="C85"/>
  <c r="C86"/>
  <c r="C87"/>
  <c r="F88"/>
  <c r="I86"/>
  <c r="I82"/>
  <c r="I78"/>
  <c r="H74"/>
  <c r="I73"/>
  <c r="H73"/>
  <c r="J56"/>
  <c r="J57"/>
  <c r="J58"/>
  <c r="J59"/>
  <c r="J60"/>
  <c r="J61"/>
  <c r="J62"/>
  <c r="J63"/>
  <c r="J64"/>
  <c r="J65"/>
  <c r="J66"/>
  <c r="J67"/>
  <c r="M68"/>
  <c r="C56"/>
  <c r="C57"/>
  <c r="C58"/>
  <c r="C59"/>
  <c r="C60"/>
  <c r="C61"/>
  <c r="C62"/>
  <c r="C63"/>
  <c r="C64"/>
  <c r="C65"/>
  <c r="C66"/>
  <c r="C68" s="1"/>
  <c r="C67"/>
  <c r="F68"/>
  <c r="B67"/>
  <c r="B65"/>
  <c r="B63"/>
  <c r="B61"/>
  <c r="B59"/>
  <c r="B57"/>
  <c r="I53"/>
  <c r="H53"/>
  <c r="J36"/>
  <c r="J37"/>
  <c r="J38"/>
  <c r="J39"/>
  <c r="J40"/>
  <c r="J41"/>
  <c r="J42"/>
  <c r="J43"/>
  <c r="J44"/>
  <c r="J45"/>
  <c r="J46"/>
  <c r="J47"/>
  <c r="M48"/>
  <c r="C36"/>
  <c r="C37"/>
  <c r="C38"/>
  <c r="C39"/>
  <c r="C40"/>
  <c r="C41"/>
  <c r="C42"/>
  <c r="C43"/>
  <c r="C44"/>
  <c r="C45"/>
  <c r="C46"/>
  <c r="C48" s="1"/>
  <c r="C47"/>
  <c r="F48"/>
  <c r="B42"/>
  <c r="B38"/>
  <c r="I33"/>
  <c r="H33"/>
  <c r="J26"/>
  <c r="C26"/>
  <c r="C27"/>
  <c r="C24"/>
  <c r="C19"/>
  <c r="C18"/>
  <c r="J27"/>
  <c r="J24"/>
  <c r="J19"/>
  <c r="J18"/>
  <c r="S48"/>
  <c r="U45"/>
  <c r="U44"/>
  <c r="U43"/>
  <c r="U42"/>
  <c r="U41"/>
  <c r="U40"/>
  <c r="U39"/>
  <c r="U38"/>
  <c r="U37"/>
  <c r="U36"/>
  <c r="U35"/>
  <c r="U34"/>
  <c r="U33"/>
  <c r="V45"/>
  <c r="V44"/>
  <c r="V43"/>
  <c r="V42"/>
  <c r="V41"/>
  <c r="V40"/>
  <c r="V39"/>
  <c r="V38"/>
  <c r="V37"/>
  <c r="V36"/>
  <c r="V35"/>
  <c r="V34"/>
  <c r="V33"/>
  <c r="P13"/>
  <c r="A1"/>
  <c r="C16"/>
  <c r="C17"/>
  <c r="C20"/>
  <c r="C21"/>
  <c r="C22"/>
  <c r="C23"/>
  <c r="C25"/>
  <c r="F28"/>
  <c r="J16"/>
  <c r="J17"/>
  <c r="J20"/>
  <c r="J21"/>
  <c r="J22"/>
  <c r="J23"/>
  <c r="J25"/>
  <c r="M28"/>
  <c r="M11" s="1"/>
  <c r="F11"/>
  <c r="C6"/>
  <c r="P45"/>
  <c r="P43"/>
  <c r="P41"/>
  <c r="P39"/>
  <c r="P37"/>
  <c r="P35"/>
  <c r="B27"/>
  <c r="I13"/>
  <c r="H13"/>
  <c r="V32"/>
  <c r="U32"/>
  <c r="U31"/>
  <c r="V31"/>
  <c r="P31"/>
  <c r="V30"/>
  <c r="U30"/>
  <c r="U29"/>
  <c r="V29"/>
  <c r="V28"/>
  <c r="U28"/>
  <c r="U27"/>
  <c r="V27"/>
  <c r="P27"/>
  <c r="V26"/>
  <c r="U26"/>
  <c r="U25"/>
  <c r="V25"/>
  <c r="V24"/>
  <c r="U24"/>
  <c r="U23"/>
  <c r="V23"/>
  <c r="P23"/>
  <c r="V22"/>
  <c r="U22"/>
  <c r="U21"/>
  <c r="V21"/>
  <c r="V20"/>
  <c r="U20"/>
  <c r="H14"/>
  <c r="E7" i="9"/>
  <c r="G7" i="3"/>
  <c r="G7" i="8"/>
  <c r="I668" i="1"/>
  <c r="I693"/>
  <c r="I697"/>
  <c r="I701"/>
  <c r="I706"/>
  <c r="I712"/>
  <c r="I716"/>
  <c r="D699"/>
  <c r="D667"/>
  <c r="I632"/>
  <c r="I636"/>
  <c r="I640"/>
  <c r="I644"/>
  <c r="I651"/>
  <c r="I655"/>
  <c r="D632"/>
  <c r="I607"/>
  <c r="I550"/>
  <c r="I575"/>
  <c r="I579"/>
  <c r="I583"/>
  <c r="I590"/>
  <c r="I594"/>
  <c r="D548"/>
  <c r="D597"/>
  <c r="I489"/>
  <c r="I514"/>
  <c r="I518"/>
  <c r="I522"/>
  <c r="I527"/>
  <c r="I533"/>
  <c r="I537"/>
  <c r="D534"/>
  <c r="I428"/>
  <c r="E7" i="5"/>
  <c r="E7" i="13"/>
  <c r="E7" i="2"/>
  <c r="G7" i="7"/>
  <c r="I692" i="1"/>
  <c r="I696"/>
  <c r="I700"/>
  <c r="I704"/>
  <c r="I711"/>
  <c r="I715"/>
  <c r="D692"/>
  <c r="I667"/>
  <c r="I610"/>
  <c r="I635"/>
  <c r="I639"/>
  <c r="I643"/>
  <c r="I650"/>
  <c r="I654"/>
  <c r="D608"/>
  <c r="D657"/>
  <c r="I549"/>
  <c r="I574"/>
  <c r="I578"/>
  <c r="I582"/>
  <c r="I587"/>
  <c r="I593"/>
  <c r="I597"/>
  <c r="D594"/>
  <c r="I488"/>
  <c r="I513"/>
  <c r="I517"/>
  <c r="I521"/>
  <c r="I526"/>
  <c r="I532"/>
  <c r="I536"/>
  <c r="D537"/>
  <c r="I453"/>
  <c r="I457"/>
  <c r="I461"/>
  <c r="I466"/>
  <c r="I472"/>
  <c r="I476"/>
  <c r="D459"/>
  <c r="D427"/>
  <c r="I392"/>
  <c r="I396"/>
  <c r="I400"/>
  <c r="I404"/>
  <c r="I411"/>
  <c r="I415"/>
  <c r="D392"/>
  <c r="I367"/>
  <c r="I310"/>
  <c r="I335"/>
  <c r="I339"/>
  <c r="I343"/>
  <c r="I350"/>
  <c r="I354"/>
  <c r="D308"/>
  <c r="D357"/>
  <c r="I249"/>
  <c r="I274"/>
  <c r="I278"/>
  <c r="I282"/>
  <c r="I287"/>
  <c r="I293"/>
  <c r="I297"/>
  <c r="D294"/>
  <c r="I188"/>
  <c r="G7" i="5"/>
  <c r="G7" i="2"/>
  <c r="I670" i="1"/>
  <c r="I699"/>
  <c r="I710"/>
  <c r="D668"/>
  <c r="I609"/>
  <c r="I638"/>
  <c r="I647"/>
  <c r="I657"/>
  <c r="I548"/>
  <c r="I577"/>
  <c r="I586"/>
  <c r="I596"/>
  <c r="D547"/>
  <c r="I516"/>
  <c r="I524"/>
  <c r="I535"/>
  <c r="I487"/>
  <c r="G7" i="9"/>
  <c r="E7" i="8"/>
  <c r="I694" i="1"/>
  <c r="I702"/>
  <c r="I713"/>
  <c r="D714"/>
  <c r="I633"/>
  <c r="I641"/>
  <c r="I652"/>
  <c r="D639"/>
  <c r="I572"/>
  <c r="I580"/>
  <c r="I591"/>
  <c r="D572"/>
  <c r="I490"/>
  <c r="I519"/>
  <c r="I530"/>
  <c r="D488"/>
  <c r="I455"/>
  <c r="I463"/>
  <c r="I474"/>
  <c r="D477"/>
  <c r="I394"/>
  <c r="I402"/>
  <c r="I413"/>
  <c r="D414"/>
  <c r="I333"/>
  <c r="I341"/>
  <c r="I352"/>
  <c r="D339"/>
  <c r="I272"/>
  <c r="I280"/>
  <c r="I291"/>
  <c r="D272"/>
  <c r="I190"/>
  <c r="I215"/>
  <c r="I219"/>
  <c r="I223"/>
  <c r="I230"/>
  <c r="I234"/>
  <c r="D188"/>
  <c r="D237"/>
  <c r="I129"/>
  <c r="I154"/>
  <c r="I158"/>
  <c r="I162"/>
  <c r="I167"/>
  <c r="I173"/>
  <c r="I177"/>
  <c r="D174"/>
  <c r="I68"/>
  <c r="I93"/>
  <c r="I97"/>
  <c r="I101"/>
  <c r="I106"/>
  <c r="I112"/>
  <c r="I116"/>
  <c r="D99"/>
  <c r="D67"/>
  <c r="I33"/>
  <c r="I37"/>
  <c r="I41"/>
  <c r="I47"/>
  <c r="I53"/>
  <c r="I57"/>
  <c r="D32"/>
  <c r="D7"/>
  <c r="D487"/>
  <c r="I454"/>
  <c r="I458"/>
  <c r="I462"/>
  <c r="I467"/>
  <c r="I473"/>
  <c r="I477"/>
  <c r="D474"/>
  <c r="I368"/>
  <c r="I393"/>
  <c r="I397"/>
  <c r="I401"/>
  <c r="I406"/>
  <c r="I412"/>
  <c r="I416"/>
  <c r="D399"/>
  <c r="D367"/>
  <c r="I332"/>
  <c r="I336"/>
  <c r="I340"/>
  <c r="I344"/>
  <c r="I351"/>
  <c r="I355"/>
  <c r="D332"/>
  <c r="I307"/>
  <c r="I250"/>
  <c r="I275"/>
  <c r="I279"/>
  <c r="I283"/>
  <c r="I290"/>
  <c r="I294"/>
  <c r="D248"/>
  <c r="D297"/>
  <c r="I189"/>
  <c r="I214"/>
  <c r="I218"/>
  <c r="I222"/>
  <c r="I227"/>
  <c r="I233"/>
  <c r="I237"/>
  <c r="D234"/>
  <c r="I128"/>
  <c r="I153"/>
  <c r="I157"/>
  <c r="I161"/>
  <c r="I166"/>
  <c r="I172"/>
  <c r="I176"/>
  <c r="D159"/>
  <c r="D127"/>
  <c r="I92"/>
  <c r="I96"/>
  <c r="I100"/>
  <c r="I104"/>
  <c r="I111"/>
  <c r="I115"/>
  <c r="D92"/>
  <c r="I67"/>
  <c r="I10"/>
  <c r="I34"/>
  <c r="I38"/>
  <c r="I42"/>
  <c r="I46"/>
  <c r="I52"/>
  <c r="I56"/>
  <c r="D39"/>
  <c r="G7" i="6"/>
  <c r="E7" i="10"/>
  <c r="G7" i="11"/>
  <c r="E7" i="12"/>
  <c r="G7"/>
  <c r="G7" i="13"/>
  <c r="E7" i="7"/>
  <c r="I695" i="1"/>
  <c r="I703"/>
  <c r="I714"/>
  <c r="D717"/>
  <c r="I634"/>
  <c r="I642"/>
  <c r="I653"/>
  <c r="D654"/>
  <c r="I573"/>
  <c r="I581"/>
  <c r="I592"/>
  <c r="D579"/>
  <c r="I512"/>
  <c r="I520"/>
  <c r="I531"/>
  <c r="D512"/>
  <c r="I430"/>
  <c r="E7" i="3"/>
  <c r="I669" i="1"/>
  <c r="I698"/>
  <c r="I707"/>
  <c r="I717"/>
  <c r="I608"/>
  <c r="I637"/>
  <c r="I646"/>
  <c r="I656"/>
  <c r="D607"/>
  <c r="I576"/>
  <c r="I584"/>
  <c r="I595"/>
  <c r="I547"/>
  <c r="I515"/>
  <c r="I523"/>
  <c r="I534"/>
  <c r="I429"/>
  <c r="I459"/>
  <c r="I470"/>
  <c r="D428"/>
  <c r="I369"/>
  <c r="I398"/>
  <c r="I407"/>
  <c r="I417"/>
  <c r="I308"/>
  <c r="I337"/>
  <c r="I346"/>
  <c r="I356"/>
  <c r="D307"/>
  <c r="I276"/>
  <c r="I284"/>
  <c r="I295"/>
  <c r="I247"/>
  <c r="I213"/>
  <c r="I217"/>
  <c r="I221"/>
  <c r="I226"/>
  <c r="I232"/>
  <c r="I236"/>
  <c r="D219"/>
  <c r="D187"/>
  <c r="I152"/>
  <c r="I156"/>
  <c r="I160"/>
  <c r="I164"/>
  <c r="I171"/>
  <c r="I175"/>
  <c r="D152"/>
  <c r="I127"/>
  <c r="I70"/>
  <c r="I95"/>
  <c r="I99"/>
  <c r="I103"/>
  <c r="I110"/>
  <c r="I114"/>
  <c r="D68"/>
  <c r="D117"/>
  <c r="I9"/>
  <c r="I35"/>
  <c r="I39"/>
  <c r="I43"/>
  <c r="I51"/>
  <c r="I55"/>
  <c r="D8"/>
  <c r="D54"/>
  <c r="D519"/>
  <c r="I452"/>
  <c r="I456"/>
  <c r="I460"/>
  <c r="I464"/>
  <c r="I471"/>
  <c r="I475"/>
  <c r="D452"/>
  <c r="I427"/>
  <c r="I370"/>
  <c r="I395"/>
  <c r="I399"/>
  <c r="I403"/>
  <c r="I410"/>
  <c r="I414"/>
  <c r="D368"/>
  <c r="D417"/>
  <c r="I309"/>
  <c r="I334"/>
  <c r="I338"/>
  <c r="I342"/>
  <c r="I347"/>
  <c r="I353"/>
  <c r="I357"/>
  <c r="D354"/>
  <c r="I248"/>
  <c r="I273"/>
  <c r="I277"/>
  <c r="I281"/>
  <c r="I286"/>
  <c r="I292"/>
  <c r="I296"/>
  <c r="D279"/>
  <c r="D247"/>
  <c r="I212"/>
  <c r="I216"/>
  <c r="I220"/>
  <c r="I224"/>
  <c r="I231"/>
  <c r="I235"/>
  <c r="D212"/>
  <c r="I187"/>
  <c r="I130"/>
  <c r="I155"/>
  <c r="I159"/>
  <c r="I163"/>
  <c r="I170"/>
  <c r="I174"/>
  <c r="D128"/>
  <c r="D177"/>
  <c r="I69"/>
  <c r="I94"/>
  <c r="I98"/>
  <c r="I102"/>
  <c r="I107"/>
  <c r="I113"/>
  <c r="I117"/>
  <c r="D114"/>
  <c r="I8"/>
  <c r="I32"/>
  <c r="I36"/>
  <c r="I40"/>
  <c r="I44"/>
  <c r="I50"/>
  <c r="I54"/>
  <c r="I7"/>
  <c r="D57"/>
  <c r="E7" i="6"/>
  <c r="G7" i="10"/>
  <c r="E7" i="11"/>
  <c r="E7" i="4"/>
  <c r="G7"/>
  <c r="X19" i="30"/>
  <c r="S16"/>
  <c r="J88" l="1"/>
  <c r="G97" i="31"/>
  <c r="E749" i="1"/>
  <c r="E747"/>
  <c r="E743"/>
  <c r="E741"/>
  <c r="E739"/>
  <c r="E737"/>
  <c r="E735"/>
  <c r="E733"/>
  <c r="E731"/>
  <c r="E729"/>
  <c r="E772"/>
  <c r="E770"/>
  <c r="E768"/>
  <c r="E766"/>
  <c r="E764"/>
  <c r="E746"/>
  <c r="E744"/>
  <c r="J765"/>
  <c r="J750"/>
  <c r="J748"/>
  <c r="J746"/>
  <c r="J744"/>
  <c r="J742"/>
  <c r="J740"/>
  <c r="J738"/>
  <c r="J736"/>
  <c r="J734"/>
  <c r="J732"/>
  <c r="E776"/>
  <c r="E758"/>
  <c r="A70" i="31"/>
  <c r="V16" i="30"/>
  <c r="U16"/>
  <c r="Q17"/>
  <c r="H34"/>
  <c r="C49"/>
  <c r="C69"/>
  <c r="J89"/>
  <c r="E775" i="1"/>
  <c r="E762"/>
  <c r="E760"/>
  <c r="E755"/>
  <c r="E753"/>
  <c r="E750"/>
  <c r="E748"/>
  <c r="E742"/>
  <c r="E740"/>
  <c r="E738"/>
  <c r="E736"/>
  <c r="E734"/>
  <c r="E732"/>
  <c r="E730"/>
  <c r="J769"/>
  <c r="L7" i="2"/>
  <c r="G93" i="31"/>
  <c r="G85"/>
  <c r="G77"/>
  <c r="K84" i="30"/>
  <c r="I84" s="1"/>
  <c r="K80"/>
  <c r="I80" s="1"/>
  <c r="K76"/>
  <c r="I76" s="1"/>
  <c r="K65"/>
  <c r="K61"/>
  <c r="K57"/>
  <c r="K44"/>
  <c r="K40"/>
  <c r="K36"/>
  <c r="K25"/>
  <c r="D86"/>
  <c r="D84"/>
  <c r="D82"/>
  <c r="D80"/>
  <c r="D78"/>
  <c r="D76"/>
  <c r="D66"/>
  <c r="D64"/>
  <c r="D62"/>
  <c r="D60"/>
  <c r="D58"/>
  <c r="D56"/>
  <c r="D46"/>
  <c r="D44"/>
  <c r="B44" s="1"/>
  <c r="D40"/>
  <c r="B40" s="1"/>
  <c r="D36"/>
  <c r="B36" s="1"/>
  <c r="D25"/>
  <c r="D21"/>
  <c r="E757" i="1"/>
  <c r="D35" i="28"/>
  <c r="I26" s="1"/>
  <c r="I35" s="1"/>
  <c r="A54" i="30"/>
  <c r="F27" i="28"/>
  <c r="H54" i="30"/>
  <c r="Q18"/>
  <c r="C28"/>
  <c r="C29" s="1"/>
  <c r="J48"/>
  <c r="J49" s="1"/>
  <c r="J68"/>
  <c r="J69" s="1"/>
  <c r="C88"/>
  <c r="C89" s="1"/>
  <c r="L88"/>
  <c r="L48"/>
  <c r="I65"/>
  <c r="I61"/>
  <c r="I57"/>
  <c r="I44"/>
  <c r="I40"/>
  <c r="I36"/>
  <c r="I25"/>
  <c r="B86"/>
  <c r="B84"/>
  <c r="B82"/>
  <c r="B80"/>
  <c r="B78"/>
  <c r="B76"/>
  <c r="J28"/>
  <c r="J29" s="1"/>
  <c r="J11" s="1"/>
  <c r="B46"/>
  <c r="L68"/>
  <c r="L28"/>
  <c r="I67"/>
  <c r="I63"/>
  <c r="I59"/>
  <c r="I46"/>
  <c r="I42"/>
  <c r="I38"/>
  <c r="I27"/>
  <c r="D68"/>
  <c r="E773" i="1"/>
  <c r="E771"/>
  <c r="E769"/>
  <c r="E767"/>
  <c r="E765"/>
  <c r="E763"/>
  <c r="E761"/>
  <c r="E756"/>
  <c r="E754"/>
  <c r="E751"/>
  <c r="E745"/>
  <c r="J768"/>
  <c r="J751"/>
  <c r="J749"/>
  <c r="J747"/>
  <c r="J745"/>
  <c r="J743"/>
  <c r="J741"/>
  <c r="J739"/>
  <c r="J737"/>
  <c r="J735"/>
  <c r="J733"/>
  <c r="J731"/>
  <c r="P21" i="30"/>
  <c r="P25"/>
  <c r="P29"/>
  <c r="P33"/>
  <c r="P34"/>
  <c r="P36"/>
  <c r="P38"/>
  <c r="P40"/>
  <c r="P42"/>
  <c r="P44"/>
  <c r="E98" i="31"/>
  <c r="E96"/>
  <c r="E94"/>
  <c r="E92"/>
  <c r="E90"/>
  <c r="E88"/>
  <c r="E85"/>
  <c r="E81"/>
  <c r="E77"/>
  <c r="G99"/>
  <c r="G95"/>
  <c r="G91"/>
  <c r="G87"/>
  <c r="G83"/>
  <c r="G79"/>
  <c r="G75"/>
  <c r="E70"/>
  <c r="P16" i="30"/>
  <c r="D70" i="31"/>
  <c r="F73"/>
  <c r="G73"/>
  <c r="I179" i="1"/>
  <c r="E115" i="26" s="1"/>
  <c r="I659" i="1"/>
  <c r="M115" i="26" s="1"/>
  <c r="D179" i="1"/>
  <c r="E56" i="26" s="1"/>
  <c r="D659" i="1"/>
  <c r="M56" i="26" s="1"/>
  <c r="D599" i="1"/>
  <c r="L56" i="26" s="1"/>
  <c r="I599" i="1"/>
  <c r="L115" i="26" s="1"/>
  <c r="I539" i="1"/>
  <c r="K115" i="26" s="1"/>
  <c r="D539" i="1"/>
  <c r="K56" i="26" s="1"/>
  <c r="D299" i="1"/>
  <c r="G56" i="26" s="1"/>
  <c r="I299" i="1"/>
  <c r="G115" i="26" s="1"/>
  <c r="E777" i="1"/>
  <c r="D777" s="1"/>
  <c r="C54" i="26"/>
  <c r="E759" i="1"/>
  <c r="D759" s="1"/>
  <c r="C36" i="26"/>
  <c r="N9" i="1"/>
  <c r="I58"/>
  <c r="S9"/>
  <c r="J727"/>
  <c r="I727" s="1"/>
  <c r="C63" i="26"/>
  <c r="J776" i="1"/>
  <c r="I776" s="1"/>
  <c r="C112" i="26"/>
  <c r="J774" i="1"/>
  <c r="I774" s="1"/>
  <c r="C110" i="26"/>
  <c r="J772" i="1"/>
  <c r="I772" s="1"/>
  <c r="C108" i="26"/>
  <c r="J770" i="1"/>
  <c r="I770" s="1"/>
  <c r="C106" i="26"/>
  <c r="J766" i="1"/>
  <c r="I766" s="1"/>
  <c r="C102" i="26"/>
  <c r="J764" i="1"/>
  <c r="I764" s="1"/>
  <c r="C100" i="26"/>
  <c r="J762" i="1"/>
  <c r="I762" s="1"/>
  <c r="C98" i="26"/>
  <c r="J760" i="1"/>
  <c r="I760" s="1"/>
  <c r="C96" i="26"/>
  <c r="J758" i="1"/>
  <c r="I758" s="1"/>
  <c r="C94" i="26"/>
  <c r="J756" i="1"/>
  <c r="I756" s="1"/>
  <c r="C92" i="26"/>
  <c r="J754" i="1"/>
  <c r="I754" s="1"/>
  <c r="C90" i="26"/>
  <c r="J752" i="1"/>
  <c r="I752" s="1"/>
  <c r="S14"/>
  <c r="C88" i="26"/>
  <c r="N14" i="1"/>
  <c r="J730"/>
  <c r="I730" s="1"/>
  <c r="C66" i="26"/>
  <c r="J728" i="1"/>
  <c r="I728" s="1"/>
  <c r="C64" i="26"/>
  <c r="I118" i="1"/>
  <c r="S69"/>
  <c r="D63" i="26"/>
  <c r="D51"/>
  <c r="L74" i="1"/>
  <c r="Q74"/>
  <c r="D29" i="26"/>
  <c r="D113"/>
  <c r="D111"/>
  <c r="D109"/>
  <c r="D107"/>
  <c r="D103"/>
  <c r="D100"/>
  <c r="D98"/>
  <c r="D96"/>
  <c r="D94"/>
  <c r="D92"/>
  <c r="D90"/>
  <c r="S74" i="1"/>
  <c r="N74"/>
  <c r="D88" i="26"/>
  <c r="D65"/>
  <c r="D178" i="1"/>
  <c r="Q129"/>
  <c r="L129"/>
  <c r="E4" i="26"/>
  <c r="E54"/>
  <c r="E36"/>
  <c r="E5"/>
  <c r="E112"/>
  <c r="E110"/>
  <c r="E108"/>
  <c r="E106"/>
  <c r="E102"/>
  <c r="E99"/>
  <c r="E97"/>
  <c r="E95"/>
  <c r="E93"/>
  <c r="E91"/>
  <c r="E89"/>
  <c r="E66"/>
  <c r="E64"/>
  <c r="I238" i="1"/>
  <c r="S189"/>
  <c r="F63" i="26"/>
  <c r="F51"/>
  <c r="L194" i="1"/>
  <c r="Q194"/>
  <c r="F29" i="26"/>
  <c r="F113"/>
  <c r="F111"/>
  <c r="F109"/>
  <c r="F107"/>
  <c r="F103"/>
  <c r="F100"/>
  <c r="F98"/>
  <c r="F96"/>
  <c r="F94"/>
  <c r="F92"/>
  <c r="F90"/>
  <c r="S194" i="1"/>
  <c r="N194"/>
  <c r="F88" i="26"/>
  <c r="F65"/>
  <c r="D298" i="1"/>
  <c r="Q249"/>
  <c r="L249"/>
  <c r="G4" i="26"/>
  <c r="G54"/>
  <c r="G36"/>
  <c r="G5"/>
  <c r="G112"/>
  <c r="G110"/>
  <c r="G108"/>
  <c r="G106"/>
  <c r="G102"/>
  <c r="G99"/>
  <c r="G97"/>
  <c r="G95"/>
  <c r="G93"/>
  <c r="G91"/>
  <c r="G89"/>
  <c r="G66"/>
  <c r="G64"/>
  <c r="I358" i="1"/>
  <c r="S309"/>
  <c r="H63" i="26"/>
  <c r="H51"/>
  <c r="L314" i="1"/>
  <c r="Q314"/>
  <c r="H29" i="26"/>
  <c r="H113"/>
  <c r="H111"/>
  <c r="H109"/>
  <c r="H107"/>
  <c r="H103"/>
  <c r="H100"/>
  <c r="H98"/>
  <c r="H96"/>
  <c r="H94"/>
  <c r="H92"/>
  <c r="H90"/>
  <c r="S314" i="1"/>
  <c r="N314"/>
  <c r="H88" i="26"/>
  <c r="H65"/>
  <c r="D418" i="1"/>
  <c r="Q369"/>
  <c r="L369"/>
  <c r="I4" i="26"/>
  <c r="I54"/>
  <c r="I36"/>
  <c r="I5"/>
  <c r="I112"/>
  <c r="I110"/>
  <c r="I108"/>
  <c r="I106"/>
  <c r="I102"/>
  <c r="I99"/>
  <c r="I97"/>
  <c r="I95"/>
  <c r="I93"/>
  <c r="I91"/>
  <c r="I89"/>
  <c r="I66"/>
  <c r="I64"/>
  <c r="I478" i="1"/>
  <c r="S429"/>
  <c r="J63" i="26"/>
  <c r="J51"/>
  <c r="L434" i="1"/>
  <c r="Q434"/>
  <c r="J29" i="26"/>
  <c r="J113"/>
  <c r="J111"/>
  <c r="J109"/>
  <c r="J107"/>
  <c r="J103"/>
  <c r="J100"/>
  <c r="J98"/>
  <c r="J96"/>
  <c r="J94"/>
  <c r="J92"/>
  <c r="J90"/>
  <c r="S434" i="1"/>
  <c r="N434"/>
  <c r="J88" i="26"/>
  <c r="Q489" i="1"/>
  <c r="D538"/>
  <c r="L489"/>
  <c r="K4" i="26"/>
  <c r="K36"/>
  <c r="E727" i="1"/>
  <c r="D727" s="1"/>
  <c r="D58"/>
  <c r="Q9"/>
  <c r="L9"/>
  <c r="C4" i="26"/>
  <c r="E774" i="1"/>
  <c r="D774" s="1"/>
  <c r="C51" i="26"/>
  <c r="E752" i="1"/>
  <c r="D752" s="1"/>
  <c r="L14"/>
  <c r="M14" s="1"/>
  <c r="Q14"/>
  <c r="R14" s="1"/>
  <c r="C29" i="26"/>
  <c r="E728" i="1"/>
  <c r="D728" s="1"/>
  <c r="C5" i="26"/>
  <c r="J777" i="1"/>
  <c r="I777" s="1"/>
  <c r="C113" i="26"/>
  <c r="J775" i="1"/>
  <c r="I775" s="1"/>
  <c r="C111" i="26"/>
  <c r="J773" i="1"/>
  <c r="I773" s="1"/>
  <c r="C109" i="26"/>
  <c r="J771" i="1"/>
  <c r="I771" s="1"/>
  <c r="C107" i="26"/>
  <c r="J767" i="1"/>
  <c r="I767" s="1"/>
  <c r="C103" i="26"/>
  <c r="J763" i="1"/>
  <c r="I763" s="1"/>
  <c r="C99" i="26"/>
  <c r="J761" i="1"/>
  <c r="I761" s="1"/>
  <c r="C97" i="26"/>
  <c r="J759" i="1"/>
  <c r="I759" s="1"/>
  <c r="C95" i="26"/>
  <c r="J757" i="1"/>
  <c r="I757" s="1"/>
  <c r="C93" i="26"/>
  <c r="J755" i="1"/>
  <c r="I755" s="1"/>
  <c r="C91" i="26"/>
  <c r="J753" i="1"/>
  <c r="I753" s="1"/>
  <c r="C89" i="26"/>
  <c r="J729" i="1"/>
  <c r="I729" s="1"/>
  <c r="C65" i="26"/>
  <c r="Q69" i="1"/>
  <c r="D118"/>
  <c r="D4" i="26"/>
  <c r="D54"/>
  <c r="D36"/>
  <c r="D5"/>
  <c r="D112"/>
  <c r="D110"/>
  <c r="D108"/>
  <c r="D106"/>
  <c r="D102"/>
  <c r="D99"/>
  <c r="D97"/>
  <c r="D95"/>
  <c r="D93"/>
  <c r="D91"/>
  <c r="D89"/>
  <c r="D66"/>
  <c r="D64"/>
  <c r="I178" i="1"/>
  <c r="N129"/>
  <c r="S129"/>
  <c r="E63" i="26"/>
  <c r="E51"/>
  <c r="Q134" i="1"/>
  <c r="E29" i="26"/>
  <c r="E113"/>
  <c r="E111"/>
  <c r="E109"/>
  <c r="E107"/>
  <c r="E103"/>
  <c r="E100"/>
  <c r="E98"/>
  <c r="E96"/>
  <c r="E94"/>
  <c r="E92"/>
  <c r="E90"/>
  <c r="S134" i="1"/>
  <c r="E88" i="26"/>
  <c r="E65"/>
  <c r="Q189" i="1"/>
  <c r="D238"/>
  <c r="F4" i="26"/>
  <c r="F54"/>
  <c r="F36"/>
  <c r="F5"/>
  <c r="F112"/>
  <c r="F110"/>
  <c r="F108"/>
  <c r="F106"/>
  <c r="F102"/>
  <c r="F99"/>
  <c r="F97"/>
  <c r="F95"/>
  <c r="F93"/>
  <c r="F91"/>
  <c r="F89"/>
  <c r="F66"/>
  <c r="F64"/>
  <c r="I298" i="1"/>
  <c r="N249"/>
  <c r="S249"/>
  <c r="G63" i="26"/>
  <c r="G51"/>
  <c r="Q254" i="1"/>
  <c r="G29" i="26"/>
  <c r="G113"/>
  <c r="G111"/>
  <c r="G109"/>
  <c r="G107"/>
  <c r="G103"/>
  <c r="G100"/>
  <c r="G98"/>
  <c r="G96"/>
  <c r="G94"/>
  <c r="G92"/>
  <c r="G90"/>
  <c r="S254" i="1"/>
  <c r="G88" i="26"/>
  <c r="G65"/>
  <c r="Q309" i="1"/>
  <c r="D358"/>
  <c r="H4" i="26"/>
  <c r="H54"/>
  <c r="H36"/>
  <c r="H5"/>
  <c r="H112"/>
  <c r="H110"/>
  <c r="H108"/>
  <c r="H106"/>
  <c r="H102"/>
  <c r="H99"/>
  <c r="H97"/>
  <c r="H95"/>
  <c r="H93"/>
  <c r="H91"/>
  <c r="H89"/>
  <c r="H66"/>
  <c r="H64"/>
  <c r="I418" i="1"/>
  <c r="N369"/>
  <c r="S369"/>
  <c r="I63" i="26"/>
  <c r="I51"/>
  <c r="Q374" i="1"/>
  <c r="I29" i="26"/>
  <c r="I113"/>
  <c r="I111"/>
  <c r="I109"/>
  <c r="I107"/>
  <c r="I103"/>
  <c r="I100"/>
  <c r="I98"/>
  <c r="I96"/>
  <c r="I94"/>
  <c r="I92"/>
  <c r="I90"/>
  <c r="S374" i="1"/>
  <c r="I88" i="26"/>
  <c r="I65"/>
  <c r="Q429" i="1"/>
  <c r="D478"/>
  <c r="J4" i="26"/>
  <c r="J54"/>
  <c r="J36"/>
  <c r="J5"/>
  <c r="J112"/>
  <c r="J110"/>
  <c r="J108"/>
  <c r="J106"/>
  <c r="J102"/>
  <c r="J99"/>
  <c r="J97"/>
  <c r="J95"/>
  <c r="J93"/>
  <c r="J91"/>
  <c r="J89"/>
  <c r="J65"/>
  <c r="K54"/>
  <c r="K5"/>
  <c r="K112"/>
  <c r="K110"/>
  <c r="K108"/>
  <c r="K106"/>
  <c r="K102"/>
  <c r="K99"/>
  <c r="K97"/>
  <c r="K95"/>
  <c r="K93"/>
  <c r="K91"/>
  <c r="K89"/>
  <c r="K66"/>
  <c r="K64"/>
  <c r="I598" i="1"/>
  <c r="S549"/>
  <c r="L63" i="26"/>
  <c r="L51"/>
  <c r="L554" i="1"/>
  <c r="Q554"/>
  <c r="L29" i="26"/>
  <c r="L113"/>
  <c r="L111"/>
  <c r="L109"/>
  <c r="L107"/>
  <c r="L103"/>
  <c r="L100"/>
  <c r="L98"/>
  <c r="L96"/>
  <c r="L94"/>
  <c r="L92"/>
  <c r="L90"/>
  <c r="S554" i="1"/>
  <c r="N554"/>
  <c r="L88" i="26"/>
  <c r="L65"/>
  <c r="D658" i="1"/>
  <c r="Q609"/>
  <c r="L609"/>
  <c r="M4" i="26"/>
  <c r="M54"/>
  <c r="M36"/>
  <c r="M5"/>
  <c r="M112"/>
  <c r="M110"/>
  <c r="M108"/>
  <c r="M106"/>
  <c r="M102"/>
  <c r="M99"/>
  <c r="M97"/>
  <c r="M95"/>
  <c r="M93"/>
  <c r="M91"/>
  <c r="M89"/>
  <c r="M66"/>
  <c r="M64"/>
  <c r="I718" i="1"/>
  <c r="S669"/>
  <c r="N63" i="26"/>
  <c r="N51"/>
  <c r="L674" i="1"/>
  <c r="Q674"/>
  <c r="N29" i="26"/>
  <c r="N113"/>
  <c r="N111"/>
  <c r="N109"/>
  <c r="N107"/>
  <c r="N103"/>
  <c r="N100"/>
  <c r="N98"/>
  <c r="N96"/>
  <c r="N94"/>
  <c r="N92"/>
  <c r="N90"/>
  <c r="S674" i="1"/>
  <c r="N674"/>
  <c r="N88" i="26"/>
  <c r="N65"/>
  <c r="I359" i="1"/>
  <c r="H115" i="26" s="1"/>
  <c r="D419" i="1"/>
  <c r="I56" i="26" s="1"/>
  <c r="D59" i="1"/>
  <c r="D119"/>
  <c r="D56" i="26" s="1"/>
  <c r="D719" i="1"/>
  <c r="N56" i="26" s="1"/>
  <c r="I479" i="1"/>
  <c r="J115" i="26" s="1"/>
  <c r="D239" i="1"/>
  <c r="F56" i="26" s="1"/>
  <c r="J66"/>
  <c r="J64"/>
  <c r="I538" i="1"/>
  <c r="N489"/>
  <c r="S489"/>
  <c r="K63" i="26"/>
  <c r="K51"/>
  <c r="L494" i="1"/>
  <c r="Q494"/>
  <c r="K29" i="26"/>
  <c r="K113"/>
  <c r="K111"/>
  <c r="K109"/>
  <c r="K107"/>
  <c r="K103"/>
  <c r="K100"/>
  <c r="K98"/>
  <c r="K96"/>
  <c r="K94"/>
  <c r="K92"/>
  <c r="K90"/>
  <c r="S494" i="1"/>
  <c r="K88" i="26"/>
  <c r="K65"/>
  <c r="Q549" i="1"/>
  <c r="D598"/>
  <c r="L4" i="26"/>
  <c r="L54"/>
  <c r="L36"/>
  <c r="L5"/>
  <c r="L112"/>
  <c r="L110"/>
  <c r="L108"/>
  <c r="L106"/>
  <c r="L102"/>
  <c r="L99"/>
  <c r="L97"/>
  <c r="L95"/>
  <c r="L93"/>
  <c r="L91"/>
  <c r="L89"/>
  <c r="L66"/>
  <c r="L64"/>
  <c r="N609" i="1"/>
  <c r="I658"/>
  <c r="S609"/>
  <c r="M63" i="26"/>
  <c r="M51"/>
  <c r="Q614" i="1"/>
  <c r="M29" i="26"/>
  <c r="M113"/>
  <c r="M111"/>
  <c r="M109"/>
  <c r="M107"/>
  <c r="M103"/>
  <c r="M100"/>
  <c r="M98"/>
  <c r="M96"/>
  <c r="M94"/>
  <c r="M92"/>
  <c r="M90"/>
  <c r="O90" s="1"/>
  <c r="M88"/>
  <c r="N614" i="1"/>
  <c r="S614"/>
  <c r="M65" i="26"/>
  <c r="Q669" i="1"/>
  <c r="D718"/>
  <c r="N4" i="26"/>
  <c r="N54"/>
  <c r="O54" s="1"/>
  <c r="N36"/>
  <c r="N5"/>
  <c r="N112"/>
  <c r="N110"/>
  <c r="N108"/>
  <c r="N106"/>
  <c r="N102"/>
  <c r="N99"/>
  <c r="N97"/>
  <c r="N95"/>
  <c r="N93"/>
  <c r="N91"/>
  <c r="N89"/>
  <c r="N66"/>
  <c r="N64"/>
  <c r="D359" i="1"/>
  <c r="H56" i="26" s="1"/>
  <c r="I419" i="1"/>
  <c r="I115" i="26" s="1"/>
  <c r="I59" i="1"/>
  <c r="I119"/>
  <c r="D115" i="26" s="1"/>
  <c r="I719" i="1"/>
  <c r="N115" i="26" s="1"/>
  <c r="D479" i="1"/>
  <c r="J56" i="26" s="1"/>
  <c r="I239" i="1"/>
  <c r="F115" i="26" s="1"/>
  <c r="I16" i="30"/>
  <c r="L11"/>
  <c r="F8" i="31" s="1"/>
  <c r="F39" s="1"/>
  <c r="E25" i="30"/>
  <c r="B25" s="1"/>
  <c r="E23"/>
  <c r="B23" s="1"/>
  <c r="E21"/>
  <c r="B21" s="1"/>
  <c r="E19"/>
  <c r="B19" s="1"/>
  <c r="E17"/>
  <c r="B17" s="1"/>
  <c r="K23"/>
  <c r="I23" s="1"/>
  <c r="K21"/>
  <c r="I21" s="1"/>
  <c r="K19"/>
  <c r="I19" s="1"/>
  <c r="K17"/>
  <c r="I17" s="1"/>
  <c r="D21" i="31"/>
  <c r="O29" i="26"/>
  <c r="O88"/>
  <c r="L69" i="1"/>
  <c r="L134"/>
  <c r="L189"/>
  <c r="L254"/>
  <c r="L309"/>
  <c r="L374"/>
  <c r="L429"/>
  <c r="L549"/>
  <c r="L614"/>
  <c r="L669"/>
  <c r="D16" i="30"/>
  <c r="D18"/>
  <c r="D20"/>
  <c r="D22"/>
  <c r="D24"/>
  <c r="D26"/>
  <c r="D37"/>
  <c r="D39"/>
  <c r="D41"/>
  <c r="D43"/>
  <c r="V19"/>
  <c r="U19"/>
  <c r="S32"/>
  <c r="S30"/>
  <c r="S28"/>
  <c r="S26"/>
  <c r="S24"/>
  <c r="S22"/>
  <c r="S20"/>
  <c r="G98" i="31"/>
  <c r="G96"/>
  <c r="G94"/>
  <c r="G92"/>
  <c r="G90"/>
  <c r="G88"/>
  <c r="G86"/>
  <c r="G84"/>
  <c r="G82"/>
  <c r="G80"/>
  <c r="G78"/>
  <c r="G76"/>
  <c r="G74"/>
  <c r="E87" i="30"/>
  <c r="B87" s="1"/>
  <c r="E85"/>
  <c r="B85" s="1"/>
  <c r="E83"/>
  <c r="B83" s="1"/>
  <c r="E81"/>
  <c r="B81" s="1"/>
  <c r="E79"/>
  <c r="B79" s="1"/>
  <c r="E77"/>
  <c r="E66"/>
  <c r="B66" s="1"/>
  <c r="E64"/>
  <c r="B64" s="1"/>
  <c r="E62"/>
  <c r="B62" s="1"/>
  <c r="E60"/>
  <c r="B60" s="1"/>
  <c r="E58"/>
  <c r="B58" s="1"/>
  <c r="E56"/>
  <c r="E47"/>
  <c r="B47" s="1"/>
  <c r="E45"/>
  <c r="B45" s="1"/>
  <c r="E43"/>
  <c r="E41"/>
  <c r="E39"/>
  <c r="E37"/>
  <c r="E48" s="1"/>
  <c r="E26"/>
  <c r="E24"/>
  <c r="E22"/>
  <c r="E20"/>
  <c r="E18"/>
  <c r="K87"/>
  <c r="I87" s="1"/>
  <c r="K85"/>
  <c r="I85" s="1"/>
  <c r="K83"/>
  <c r="I83" s="1"/>
  <c r="K81"/>
  <c r="I81" s="1"/>
  <c r="K79"/>
  <c r="I79" s="1"/>
  <c r="K77"/>
  <c r="K66"/>
  <c r="I66" s="1"/>
  <c r="K64"/>
  <c r="I64" s="1"/>
  <c r="K62"/>
  <c r="I62" s="1"/>
  <c r="K60"/>
  <c r="I60" s="1"/>
  <c r="K58"/>
  <c r="I58" s="1"/>
  <c r="K56"/>
  <c r="K47"/>
  <c r="I47" s="1"/>
  <c r="K45"/>
  <c r="I45" s="1"/>
  <c r="K43"/>
  <c r="I43" s="1"/>
  <c r="K41"/>
  <c r="I41" s="1"/>
  <c r="K39"/>
  <c r="I39" s="1"/>
  <c r="K37"/>
  <c r="K26"/>
  <c r="I26" s="1"/>
  <c r="K24"/>
  <c r="I24" s="1"/>
  <c r="K22"/>
  <c r="I22" s="1"/>
  <c r="K20"/>
  <c r="I20" s="1"/>
  <c r="K18"/>
  <c r="I18" s="1"/>
  <c r="D37" i="31"/>
  <c r="O4" i="26"/>
  <c r="O89"/>
  <c r="N69" i="1"/>
  <c r="N134"/>
  <c r="N189"/>
  <c r="N254"/>
  <c r="N309"/>
  <c r="N374"/>
  <c r="N429"/>
  <c r="N494"/>
  <c r="N549"/>
  <c r="N669"/>
  <c r="A7" i="2"/>
  <c r="L5" i="3"/>
  <c r="L7" s="1"/>
  <c r="L5" i="4" s="1"/>
  <c r="L7" s="1"/>
  <c r="L5" i="5" s="1"/>
  <c r="L7" s="1"/>
  <c r="L5" i="6" s="1"/>
  <c r="L7" s="1"/>
  <c r="L5" i="7" s="1"/>
  <c r="L7" s="1"/>
  <c r="L5" i="8" s="1"/>
  <c r="L7" s="1"/>
  <c r="L5" i="9" s="1"/>
  <c r="L7" s="1"/>
  <c r="L5" i="10" s="1"/>
  <c r="L7" s="1"/>
  <c r="L5" i="11" s="1"/>
  <c r="L7" s="1"/>
  <c r="L5" i="12" s="1"/>
  <c r="L7" s="1"/>
  <c r="L5" i="13" s="1"/>
  <c r="L7" s="1"/>
  <c r="K5" i="4"/>
  <c r="K7" s="1"/>
  <c r="A7" i="3"/>
  <c r="X18" i="30"/>
  <c r="S19"/>
  <c r="S18"/>
  <c r="X17"/>
  <c r="O64" i="26" l="1"/>
  <c r="D88" i="30"/>
  <c r="A71" i="31"/>
  <c r="V17" i="30"/>
  <c r="U17"/>
  <c r="G72" i="31"/>
  <c r="F72"/>
  <c r="C11" i="30"/>
  <c r="D37" i="28"/>
  <c r="A72" i="31"/>
  <c r="V18" i="30"/>
  <c r="U18"/>
  <c r="M614" i="1"/>
  <c r="O66" i="26"/>
  <c r="O65"/>
  <c r="O51"/>
  <c r="O36"/>
  <c r="R494" i="1"/>
  <c r="R674"/>
  <c r="R554"/>
  <c r="R374"/>
  <c r="R254"/>
  <c r="R134"/>
  <c r="R434"/>
  <c r="R314"/>
  <c r="R194"/>
  <c r="R74"/>
  <c r="F71" i="31"/>
  <c r="G71"/>
  <c r="E73"/>
  <c r="P19" i="30"/>
  <c r="D73" i="31"/>
  <c r="P18" i="30"/>
  <c r="D72" i="31"/>
  <c r="E72"/>
  <c r="N719" i="1"/>
  <c r="N717"/>
  <c r="I37" i="30"/>
  <c r="K48"/>
  <c r="I48" s="1"/>
  <c r="K68"/>
  <c r="I68" s="1"/>
  <c r="I56"/>
  <c r="I77"/>
  <c r="K88"/>
  <c r="I88" s="1"/>
  <c r="D76" i="31"/>
  <c r="E76"/>
  <c r="P22" i="30"/>
  <c r="D80" i="31"/>
  <c r="E80"/>
  <c r="P26" i="30"/>
  <c r="D84" i="31"/>
  <c r="E84"/>
  <c r="P30" i="30"/>
  <c r="L719" i="1"/>
  <c r="L717"/>
  <c r="M669"/>
  <c r="L599"/>
  <c r="L597"/>
  <c r="M549"/>
  <c r="Q717"/>
  <c r="Q719"/>
  <c r="R669"/>
  <c r="S657"/>
  <c r="S659"/>
  <c r="N659"/>
  <c r="N657"/>
  <c r="L598"/>
  <c r="Q598"/>
  <c r="N537"/>
  <c r="N539"/>
  <c r="D779"/>
  <c r="C56" i="26"/>
  <c r="N718" i="1"/>
  <c r="S718"/>
  <c r="L657"/>
  <c r="M609"/>
  <c r="L659"/>
  <c r="Q658"/>
  <c r="L658"/>
  <c r="N598"/>
  <c r="S598"/>
  <c r="L478"/>
  <c r="Q478"/>
  <c r="S417"/>
  <c r="S419"/>
  <c r="N418"/>
  <c r="S418"/>
  <c r="L358"/>
  <c r="Q358"/>
  <c r="S297"/>
  <c r="S299"/>
  <c r="N298"/>
  <c r="S298"/>
  <c r="L238"/>
  <c r="Q238"/>
  <c r="S177"/>
  <c r="S179"/>
  <c r="N178"/>
  <c r="S178"/>
  <c r="L118"/>
  <c r="Q118"/>
  <c r="Q57"/>
  <c r="Q59"/>
  <c r="R9"/>
  <c r="L729"/>
  <c r="Q729"/>
  <c r="D778"/>
  <c r="Q538"/>
  <c r="L538"/>
  <c r="N478"/>
  <c r="S478"/>
  <c r="L419"/>
  <c r="L417"/>
  <c r="M369"/>
  <c r="Q418"/>
  <c r="L418"/>
  <c r="N358"/>
  <c r="S358"/>
  <c r="L299"/>
  <c r="L297"/>
  <c r="M249"/>
  <c r="Q298"/>
  <c r="L298"/>
  <c r="N238"/>
  <c r="S238"/>
  <c r="L179"/>
  <c r="L177"/>
  <c r="M129"/>
  <c r="Q178"/>
  <c r="L178"/>
  <c r="N118"/>
  <c r="S118"/>
  <c r="N734"/>
  <c r="L12" i="30" s="1"/>
  <c r="S734" i="1"/>
  <c r="N729"/>
  <c r="I778"/>
  <c r="S729"/>
  <c r="N58"/>
  <c r="S58"/>
  <c r="B43" i="30"/>
  <c r="B39"/>
  <c r="B26"/>
  <c r="B22"/>
  <c r="B18"/>
  <c r="M374" i="1"/>
  <c r="M254"/>
  <c r="M134"/>
  <c r="E28" i="30"/>
  <c r="K28"/>
  <c r="N55" i="26"/>
  <c r="M494" i="1"/>
  <c r="K114" i="26"/>
  <c r="M674" i="1"/>
  <c r="N114" i="26"/>
  <c r="M554" i="1"/>
  <c r="L114" i="26"/>
  <c r="O91"/>
  <c r="O93"/>
  <c r="O95"/>
  <c r="O97"/>
  <c r="O99"/>
  <c r="O103"/>
  <c r="O107"/>
  <c r="O109"/>
  <c r="O111"/>
  <c r="O113"/>
  <c r="O5"/>
  <c r="C55"/>
  <c r="K55"/>
  <c r="M434" i="1"/>
  <c r="J114" i="26"/>
  <c r="M314" i="1"/>
  <c r="H114" i="26"/>
  <c r="M194" i="1"/>
  <c r="F114" i="26"/>
  <c r="M74" i="1"/>
  <c r="D114" i="26"/>
  <c r="A9" i="3"/>
  <c r="A8"/>
  <c r="D52" i="14"/>
  <c r="R52"/>
  <c r="Q52"/>
  <c r="K5" i="5"/>
  <c r="K7" s="1"/>
  <c r="A7" i="4"/>
  <c r="A9" i="2"/>
  <c r="C51" i="14"/>
  <c r="A8" i="2"/>
  <c r="D51" i="14"/>
  <c r="R51"/>
  <c r="Q51"/>
  <c r="N599" i="1"/>
  <c r="N597"/>
  <c r="N479"/>
  <c r="N477"/>
  <c r="N359"/>
  <c r="N357"/>
  <c r="N239"/>
  <c r="N237"/>
  <c r="N119"/>
  <c r="N117"/>
  <c r="E68" i="30"/>
  <c r="B68" s="1"/>
  <c r="B56"/>
  <c r="B77"/>
  <c r="E88"/>
  <c r="B88" s="1"/>
  <c r="D74" i="31"/>
  <c r="P20" i="30"/>
  <c r="E74" i="31"/>
  <c r="D78"/>
  <c r="E78"/>
  <c r="P24" i="30"/>
  <c r="D82" i="31"/>
  <c r="E82"/>
  <c r="P28" i="30"/>
  <c r="P32"/>
  <c r="D86" i="31"/>
  <c r="E86"/>
  <c r="D48" i="30"/>
  <c r="B48" s="1"/>
  <c r="B37"/>
  <c r="D28"/>
  <c r="B16"/>
  <c r="L479" i="1"/>
  <c r="L477"/>
  <c r="M429"/>
  <c r="L359"/>
  <c r="L357"/>
  <c r="M309"/>
  <c r="L239"/>
  <c r="L237"/>
  <c r="M189"/>
  <c r="L119"/>
  <c r="L117"/>
  <c r="M69"/>
  <c r="I779"/>
  <c r="C115" i="26"/>
  <c r="L718" i="1"/>
  <c r="Q718"/>
  <c r="N658"/>
  <c r="S658"/>
  <c r="Q597"/>
  <c r="Q599"/>
  <c r="R549"/>
  <c r="S539"/>
  <c r="S537"/>
  <c r="N538"/>
  <c r="S538"/>
  <c r="S717"/>
  <c r="S719"/>
  <c r="Q657"/>
  <c r="R609"/>
  <c r="Q659"/>
  <c r="S599"/>
  <c r="S597"/>
  <c r="Q477"/>
  <c r="Q479"/>
  <c r="R429"/>
  <c r="N417"/>
  <c r="N419"/>
  <c r="Q357"/>
  <c r="Q359"/>
  <c r="R309"/>
  <c r="N297"/>
  <c r="N299"/>
  <c r="Q237"/>
  <c r="Q239"/>
  <c r="R189"/>
  <c r="N177"/>
  <c r="N179"/>
  <c r="Q117"/>
  <c r="Q119"/>
  <c r="R69"/>
  <c r="L734"/>
  <c r="Q734"/>
  <c r="R734" s="1"/>
  <c r="L59"/>
  <c r="L57"/>
  <c r="M9"/>
  <c r="Q58"/>
  <c r="L58"/>
  <c r="L537"/>
  <c r="M489"/>
  <c r="L539"/>
  <c r="R489"/>
  <c r="Q537"/>
  <c r="Q539"/>
  <c r="S477"/>
  <c r="S479"/>
  <c r="Q417"/>
  <c r="Q419"/>
  <c r="R369"/>
  <c r="S357"/>
  <c r="S359"/>
  <c r="Q297"/>
  <c r="Q299"/>
  <c r="R249"/>
  <c r="S237"/>
  <c r="S239"/>
  <c r="Q177"/>
  <c r="Q179"/>
  <c r="R129"/>
  <c r="S117"/>
  <c r="S119"/>
  <c r="C114" i="26"/>
  <c r="O63"/>
  <c r="S57" i="1"/>
  <c r="S59"/>
  <c r="N59"/>
  <c r="N57"/>
  <c r="O55" i="26"/>
  <c r="B41" i="30"/>
  <c r="B24"/>
  <c r="B20"/>
  <c r="R614" i="1"/>
  <c r="M114" i="26"/>
  <c r="L55"/>
  <c r="M55"/>
  <c r="J55"/>
  <c r="I114"/>
  <c r="H55"/>
  <c r="G114"/>
  <c r="F55"/>
  <c r="E114"/>
  <c r="D55"/>
  <c r="I55"/>
  <c r="G55"/>
  <c r="E55"/>
  <c r="O92"/>
  <c r="O94"/>
  <c r="O96"/>
  <c r="O98"/>
  <c r="O100"/>
  <c r="O102"/>
  <c r="O106"/>
  <c r="O108"/>
  <c r="O110"/>
  <c r="O112"/>
  <c r="S17" i="30"/>
  <c r="E71" i="31" l="1"/>
  <c r="D71"/>
  <c r="D100" s="1"/>
  <c r="D118" s="1"/>
  <c r="P17" i="30"/>
  <c r="A8"/>
  <c r="S47"/>
  <c r="E100" i="31"/>
  <c r="E118" s="1"/>
  <c r="A8" i="4"/>
  <c r="A9"/>
  <c r="R53" i="14"/>
  <c r="D53"/>
  <c r="Q53"/>
  <c r="K11" i="30"/>
  <c r="I28"/>
  <c r="S777" i="1"/>
  <c r="S779"/>
  <c r="N779"/>
  <c r="N777"/>
  <c r="K12" i="30"/>
  <c r="L778" i="1"/>
  <c r="Q778"/>
  <c r="M729"/>
  <c r="L777"/>
  <c r="L779"/>
  <c r="D12" i="30"/>
  <c r="C12"/>
  <c r="O56" i="26"/>
  <c r="O114"/>
  <c r="M734" i="1"/>
  <c r="E12" i="30"/>
  <c r="O115" i="26"/>
  <c r="J12" i="30"/>
  <c r="D11"/>
  <c r="B28"/>
  <c r="A7" i="5"/>
  <c r="K5" i="6"/>
  <c r="K7" s="1"/>
  <c r="N778" i="1"/>
  <c r="S778"/>
  <c r="Q779"/>
  <c r="R729"/>
  <c r="Q777"/>
  <c r="E120" i="31"/>
  <c r="E11" i="30"/>
  <c r="E8" i="31" s="1"/>
  <c r="K5" i="7" l="1"/>
  <c r="K7" s="1"/>
  <c r="A7" i="6"/>
  <c r="E39" i="31"/>
  <c r="G8"/>
  <c r="G39" s="1"/>
  <c r="G42" s="1"/>
  <c r="A9" i="5"/>
  <c r="A8"/>
  <c r="D54" i="14"/>
  <c r="R54"/>
  <c r="Q54"/>
  <c r="A11" i="30"/>
  <c r="B8" i="31"/>
  <c r="H11" i="30"/>
  <c r="C8" i="31"/>
  <c r="C39" s="1"/>
  <c r="K5" i="8" l="1"/>
  <c r="K7" s="1"/>
  <c r="A7" i="7"/>
  <c r="B39" i="31"/>
  <c r="D8"/>
  <c r="D39" s="1"/>
  <c r="D42" s="1"/>
  <c r="A8" i="6"/>
  <c r="Q55" i="14"/>
  <c r="D55"/>
  <c r="A9" i="6"/>
  <c r="R55" i="14"/>
  <c r="G46" i="31" l="1"/>
  <c r="G122" s="1"/>
  <c r="G44"/>
  <c r="A8" i="7"/>
  <c r="A9"/>
  <c r="R56" i="14"/>
  <c r="Q56"/>
  <c r="D56"/>
  <c r="K5" i="9"/>
  <c r="K7" s="1"/>
  <c r="A7" i="8"/>
  <c r="K5" i="10" l="1"/>
  <c r="K7" s="1"/>
  <c r="A7" i="9"/>
  <c r="A9" i="8"/>
  <c r="A8"/>
  <c r="D57" i="14"/>
  <c r="Q57"/>
  <c r="R57"/>
  <c r="K5" i="11" l="1"/>
  <c r="K7" s="1"/>
  <c r="A7" i="10"/>
  <c r="A9" i="9"/>
  <c r="A8"/>
  <c r="D58" i="14"/>
  <c r="R58"/>
  <c r="Q58"/>
  <c r="A9" i="10" l="1"/>
  <c r="A8"/>
  <c r="D59" i="14"/>
  <c r="Q59"/>
  <c r="R59"/>
  <c r="K5" i="12"/>
  <c r="K7" s="1"/>
  <c r="A7" i="11"/>
  <c r="K5" i="13" l="1"/>
  <c r="K7" s="1"/>
  <c r="A7" i="12"/>
  <c r="A9" i="11"/>
  <c r="R60" i="14"/>
  <c r="Q60"/>
  <c r="A8" i="11"/>
  <c r="D60" i="14"/>
  <c r="X16" i="30"/>
  <c r="G70" i="31" l="1"/>
  <c r="G100" s="1"/>
  <c r="G118" s="1"/>
  <c r="F70"/>
  <c r="F100" s="1"/>
  <c r="F118" s="1"/>
  <c r="X47" i="30"/>
  <c r="M8"/>
  <c r="F7" s="1"/>
  <c r="D61" i="14"/>
  <c r="Q61"/>
  <c r="A8" i="12"/>
  <c r="A9"/>
  <c r="R61" i="14"/>
  <c r="A7" i="13"/>
  <c r="G120" i="31" l="1"/>
  <c r="G121" s="1"/>
  <c r="G47" s="1"/>
  <c r="A8" i="13"/>
  <c r="A9"/>
  <c r="R62" i="14"/>
  <c r="D62"/>
  <c r="X48" i="30"/>
  <c r="Q62" i="14"/>
</calcChain>
</file>

<file path=xl/sharedStrings.xml><?xml version="1.0" encoding="utf-8"?>
<sst xmlns="http://schemas.openxmlformats.org/spreadsheetml/2006/main" count="2178" uniqueCount="274">
  <si>
    <t>Gesamteinkommen</t>
  </si>
  <si>
    <t>Betriebsinkommen, dieses in die Steuererklärung übertragen</t>
  </si>
  <si>
    <t>Trennung</t>
  </si>
  <si>
    <t>Naturalbezüge Haushalt (Ziffer 5)</t>
  </si>
  <si>
    <t>Mietwert eigene Wohnung (Ziffer 7)</t>
  </si>
  <si>
    <t>Kostenanteil Betrieb an Auto (Ziffer 8)</t>
  </si>
  <si>
    <t>Kostenanteil Betrieb an Telefon (Ziffer 8)</t>
  </si>
  <si>
    <t>Buchhaltung</t>
  </si>
  <si>
    <t>mit "von ausserhalb dieser Buchhaltung"</t>
  </si>
  <si>
    <t>mit "an ausserhalb dieser Buchhaltung"</t>
  </si>
  <si>
    <t>Total der Ausgabenkonten</t>
  </si>
  <si>
    <t>Total der Einnahmenkonten</t>
  </si>
  <si>
    <t>HINWEIS: Alle Konten der Monatsblätter müssen auf dem Blatt "Trennung" eingeschaltet sein (max. 30 möglich).</t>
  </si>
  <si>
    <t>Zwischentotal</t>
  </si>
  <si>
    <t>Zwischentotal Konten</t>
  </si>
  <si>
    <t>Kapitalbildung oder Kapitalverzehr gemäss Vermögensrechnung</t>
  </si>
  <si>
    <t>Kapitalbildung / Kapitalverzehr gemäss Einkommensrechnung</t>
  </si>
  <si>
    <t>Januar</t>
  </si>
  <si>
    <t>Februar</t>
  </si>
  <si>
    <t>März</t>
  </si>
  <si>
    <t>Einnahmenkategorien</t>
  </si>
  <si>
    <t>Ausgabenkategorien</t>
  </si>
  <si>
    <t>April</t>
  </si>
  <si>
    <t>Mai</t>
  </si>
  <si>
    <t>Kat.</t>
  </si>
  <si>
    <t>Beschreibung</t>
  </si>
  <si>
    <t>CHF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</si>
  <si>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</si>
  <si>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</si>
  <si>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</si>
  <si>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</si>
  <si>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</si>
  <si>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</si>
  <si>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</si>
  <si>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</si>
  <si>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Gutschrift</t>
  </si>
  <si>
    <t>Bestände am Jahresanfang (1. Januar)</t>
  </si>
  <si>
    <t>Bestände am Jahresende (31. Dezember)</t>
  </si>
  <si>
    <t xml:space="preserve"> Total der Einnahmen</t>
  </si>
  <si>
    <t xml:space="preserve"> Total der Ausgaben</t>
  </si>
  <si>
    <t>Einnahmenpositionen</t>
  </si>
  <si>
    <t>Ausgabenpositionen</t>
  </si>
  <si>
    <t>Eigenkapitalentwicklung:</t>
  </si>
  <si>
    <t>Laufende Rechnung:</t>
  </si>
  <si>
    <t>Anfangsbestand</t>
  </si>
  <si>
    <t>aktuell:</t>
  </si>
  <si>
    <t xml:space="preserve"> Aktueller Stand des Eigenkapitals</t>
  </si>
  <si>
    <t xml:space="preserve"> Veränderung seit Ende Vormonat</t>
  </si>
  <si>
    <t>Wunschziel:</t>
  </si>
  <si>
    <t>Differenz:</t>
  </si>
  <si>
    <t>Datum</t>
  </si>
  <si>
    <t>Text</t>
  </si>
  <si>
    <t>Ein</t>
  </si>
  <si>
    <t>Aus</t>
  </si>
  <si>
    <t>Bereich:</t>
  </si>
  <si>
    <t>Jahre</t>
  </si>
  <si>
    <t>Diagrammdaten</t>
  </si>
  <si>
    <t>Beginn</t>
  </si>
  <si>
    <t>Ende Monat</t>
  </si>
  <si>
    <t>Beleg</t>
  </si>
  <si>
    <t>Kasse</t>
  </si>
  <si>
    <t>Lohnkonto</t>
  </si>
  <si>
    <t>?</t>
  </si>
  <si>
    <t>!</t>
  </si>
  <si>
    <t>Kto.</t>
  </si>
  <si>
    <t>Autokosten</t>
  </si>
  <si>
    <t>Ferien, Ausflüge</t>
  </si>
  <si>
    <t>Versicherungen allgemein</t>
  </si>
  <si>
    <t>Gesundheit, Krankenkasse, Zahnarzt</t>
  </si>
  <si>
    <t>Telefon</t>
  </si>
  <si>
    <t>Steuern</t>
  </si>
  <si>
    <t>Nahrung, Kleider, Körperpflege</t>
  </si>
  <si>
    <t>Zinsen, Zinssteuererstattungen</t>
  </si>
  <si>
    <t>Geschenke</t>
  </si>
  <si>
    <t>Freizeit, Vergnügen, Unterhaltung</t>
  </si>
  <si>
    <t>Diverse Privateinnahmen</t>
  </si>
  <si>
    <t>Diverse Privatausgaben</t>
  </si>
  <si>
    <t>Private Vereinsbeiträge</t>
  </si>
  <si>
    <t>Feuerwehrsold</t>
  </si>
  <si>
    <t>Wasser</t>
  </si>
  <si>
    <t>Strom</t>
  </si>
  <si>
    <t>Spesen Vermögensverwaltung</t>
  </si>
  <si>
    <t>G.</t>
  </si>
  <si>
    <t>Einnahmen Gruppe A</t>
  </si>
  <si>
    <t>Einnahmengruppen</t>
  </si>
  <si>
    <t>Ausgabengruppen</t>
  </si>
  <si>
    <t>Einnahmen Gruppe B</t>
  </si>
  <si>
    <t>Einnahmen Gruppe C</t>
  </si>
  <si>
    <t>Einnahmen Gruppe D</t>
  </si>
  <si>
    <t>Einnahmen Gruppe E</t>
  </si>
  <si>
    <t>Einnahmen Gruppe F</t>
  </si>
  <si>
    <t>Einnahmen Gruppe G</t>
  </si>
  <si>
    <t>Einnahmen Gruppe H</t>
  </si>
  <si>
    <t>Einnahmen Gruppe I</t>
  </si>
  <si>
    <t>Einnahmen Gruppe K</t>
  </si>
  <si>
    <t>Ausgaben Gruppe B</t>
  </si>
  <si>
    <t>Ausgaben Gruppe C</t>
  </si>
  <si>
    <t>Ausgaben Gruppe D</t>
  </si>
  <si>
    <t>Ausgaben Gruppe E</t>
  </si>
  <si>
    <t>Ausgaben Gruppe F</t>
  </si>
  <si>
    <t>Ausgaben Gruppe G</t>
  </si>
  <si>
    <t>Ausgaben Gruppe H</t>
  </si>
  <si>
    <t>Ausgaben Gruppe I</t>
  </si>
  <si>
    <t>Ausgaben Gruppe K</t>
  </si>
  <si>
    <t>Ausgaben Gruppe A</t>
  </si>
  <si>
    <t>end</t>
  </si>
  <si>
    <t>Vergleich</t>
  </si>
  <si>
    <t>Kontrolle</t>
  </si>
  <si>
    <t xml:space="preserve"> </t>
  </si>
  <si>
    <t xml:space="preserve"> Kontrolle</t>
  </si>
  <si>
    <t>Total</t>
  </si>
  <si>
    <t>Gruppen</t>
  </si>
  <si>
    <t>Einnahmen und Ausgaben nach Kategorien</t>
  </si>
  <si>
    <t>Filter Aus</t>
  </si>
  <si>
    <t>Jahresübersicht der Einnahmenkategorien</t>
  </si>
  <si>
    <t>Jahresübersicht der Ausgabenkategorien</t>
  </si>
  <si>
    <t>Teilergebnisse Aus</t>
  </si>
  <si>
    <t>A</t>
  </si>
  <si>
    <t>B</t>
  </si>
  <si>
    <t>bewegtes</t>
  </si>
  <si>
    <t>ID</t>
  </si>
  <si>
    <t>Valuta</t>
  </si>
  <si>
    <t>Vorgang</t>
  </si>
  <si>
    <t>Brutto</t>
  </si>
  <si>
    <t>V.-Steuer</t>
  </si>
  <si>
    <t>Netto</t>
  </si>
  <si>
    <t>Spesen</t>
  </si>
  <si>
    <t>Achtung: Nicht alle Spesen sind steuerlich abziehbar !</t>
  </si>
  <si>
    <t>Benzinbezug für Auto (PW)</t>
  </si>
  <si>
    <t>Möbel, Wohnungseinrichtung</t>
  </si>
  <si>
    <t>a</t>
  </si>
  <si>
    <t>Liste der Textbausteine</t>
  </si>
  <si>
    <t>b</t>
  </si>
  <si>
    <t>c</t>
  </si>
  <si>
    <t>d</t>
  </si>
  <si>
    <t>e</t>
  </si>
  <si>
    <t>f</t>
  </si>
  <si>
    <t>g</t>
  </si>
  <si>
    <t>h</t>
  </si>
  <si>
    <t>j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</si>
  <si>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</si>
  <si>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</si>
  <si>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</si>
  <si>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</si>
  <si>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</si>
  <si>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</si>
  <si>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</si>
  <si>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</si>
  <si>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</si>
  <si>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</si>
  <si>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</si>
  <si>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</si>
  <si>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</si>
  <si>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</si>
  <si>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</si>
  <si>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</si>
  <si>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</si>
  <si>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ä</t>
  </si>
  <si>
    <t>ö</t>
  </si>
  <si>
    <t>ü</t>
  </si>
  <si>
    <t>$</t>
  </si>
  <si>
    <t>&amp;</t>
  </si>
  <si>
    <t>%</t>
  </si>
  <si>
    <t>Schule und Bildung Kinder</t>
  </si>
  <si>
    <t>Büro, Computer, Fotos</t>
  </si>
  <si>
    <t>Erwachsenenbildung</t>
  </si>
  <si>
    <t>Landwirtschaft</t>
  </si>
  <si>
    <t>Privat</t>
  </si>
  <si>
    <t>Kosten IT Consulting / Webdesign</t>
  </si>
  <si>
    <t>Maschinen und Geräte</t>
  </si>
  <si>
    <t>Nicht erfasst sind Verschiebungen Postkonto - Kasse, Zuflüsse aus Erwerbstätigkeiten und reguläre Ausgaben.</t>
  </si>
  <si>
    <t>Umlaufvermögen</t>
  </si>
  <si>
    <t>Anlagevermögen</t>
  </si>
  <si>
    <t>Fremdkapital</t>
  </si>
  <si>
    <t>Eigenkapital</t>
  </si>
  <si>
    <t>Eigenkapitalquote</t>
  </si>
  <si>
    <t>Aktiven</t>
  </si>
  <si>
    <t>Passiven</t>
  </si>
  <si>
    <t>Betrag</t>
  </si>
  <si>
    <t>Vermögensart</t>
  </si>
  <si>
    <t>Finanzierungsart</t>
  </si>
  <si>
    <r>
      <t>Bilanzsumme</t>
    </r>
    <r>
      <rPr>
        <sz val="10"/>
        <rFont val="Arial"/>
      </rPr>
      <t xml:space="preserve"> (Summe der Aktiven = Summe der Passiven)</t>
    </r>
  </si>
  <si>
    <t>Vermögenspositionen</t>
  </si>
  <si>
    <t>Finanzierungspositionen</t>
  </si>
  <si>
    <r>
      <t>Allgemeines Eigenkapital (berechnet)</t>
    </r>
    <r>
      <rPr>
        <b/>
        <sz val="10"/>
        <color indexed="10"/>
        <rFont val="Arial"/>
        <family val="2"/>
      </rPr>
      <t>*</t>
    </r>
  </si>
  <si>
    <t>Finanzübersicht (Erfolgsrechnung) Monat</t>
  </si>
  <si>
    <t>Bilanz per</t>
  </si>
  <si>
    <t>Org. Freizeitaktivitäten der Kinder</t>
  </si>
  <si>
    <t>Dez.!</t>
  </si>
  <si>
    <t>31. Dezember</t>
  </si>
  <si>
    <t>&lt; müssen gleich sein &gt;</t>
  </si>
  <si>
    <t>Betrieb</t>
  </si>
  <si>
    <t>privat</t>
  </si>
  <si>
    <t>Total Ein</t>
  </si>
  <si>
    <t>Total Aus</t>
  </si>
  <si>
    <t>Letzte Betriebskategorie auf der Einnahmenseite:</t>
  </si>
  <si>
    <t>Auszug</t>
  </si>
  <si>
    <t>Erste Privatkategorie auf der Einnahmenseite:</t>
  </si>
  <si>
    <t>Wohltätige Spenden</t>
  </si>
  <si>
    <t>Vorsorgesparen 3a / PK Einkauf</t>
  </si>
  <si>
    <t>Einnahmen</t>
  </si>
  <si>
    <t>Ausgaben</t>
  </si>
  <si>
    <t>Saldo</t>
  </si>
  <si>
    <t>Zugekaufte Vorräte</t>
  </si>
  <si>
    <t>Inventarbereinigungen</t>
  </si>
  <si>
    <t>saldo 1-2</t>
  </si>
  <si>
    <t>Konto Nr.</t>
  </si>
  <si>
    <t>...</t>
  </si>
  <si>
    <t>Erträge</t>
  </si>
  <si>
    <t>Kosten</t>
  </si>
  <si>
    <t>Wert am 1.1.</t>
  </si>
  <si>
    <t>Wert am 31.12.</t>
  </si>
  <si>
    <t>saldo 2-1</t>
  </si>
  <si>
    <t>Ermittlung des Einkommens aus betrieblicher Tätigkeit für die Steuererklärung</t>
  </si>
  <si>
    <t>Noch zu bereinigen Betrieb / privat</t>
  </si>
  <si>
    <t>Zwischentotal Bereinigungen</t>
  </si>
  <si>
    <t>Zwischentotal Inventarbereinigungen</t>
  </si>
  <si>
    <t>Ermittlung Einkommen</t>
  </si>
  <si>
    <t>Eigenkapital am Anfang und am Ende</t>
  </si>
  <si>
    <r>
      <t>Kapitalbildung oder Kapitalverzehr</t>
    </r>
    <r>
      <rPr>
        <sz val="10"/>
        <rFont val="Arial"/>
        <family val="2"/>
      </rPr>
      <t xml:space="preserve"> (muss mit Vermögensrechnung übereinstimmen!)</t>
    </r>
  </si>
  <si>
    <t>Kapitalbildung / Kapitalverzehr (muss mit Einkommensrechnung übereinstimmen!)</t>
  </si>
  <si>
    <t>Konten: Überträge von Blatt "Trennung"</t>
  </si>
  <si>
    <t>Ermittlung des Vermögens (Geld- und Sachwerte) für die Steuererklärung</t>
  </si>
  <si>
    <t>von ausser-</t>
  </si>
  <si>
    <t>halb dieser</t>
  </si>
  <si>
    <t>an ausser-</t>
  </si>
  <si>
    <t xml:space="preserve"> Einnahmen
 aller Konten</t>
  </si>
  <si>
    <t xml:space="preserve"> Ausgaben
 aller Konten</t>
  </si>
  <si>
    <t>gesamte
Einnahmen</t>
  </si>
  <si>
    <t>Betrieb
gesamthaft</t>
  </si>
  <si>
    <t>privat
gesamthaft</t>
  </si>
  <si>
    <t>alle externen
Zuflüsse</t>
  </si>
  <si>
    <t>gesamte
Ausgaben</t>
  </si>
  <si>
    <t>alle externen
Abflüsse</t>
  </si>
  <si>
    <t xml:space="preserve"> Letzte Betriebskategorie auf der Ausgabenseite</t>
  </si>
  <si>
    <t xml:space="preserve"> Erste Privatkategorie auf der Ausgabenseite</t>
  </si>
  <si>
    <t>Trennung gemäss Tabellenblatt "Kat. I". Es wird vorausgesetzt dass der Betrieb die niedrigeren Kategoriennummern hat . Es können maximal 30 Konten getrennt werden.</t>
  </si>
  <si>
    <t>(Als positive Zahl!)</t>
  </si>
  <si>
    <t xml:space="preserve"> Summe aller Kontenbestände Anfang Jahr + gesamte Einnahmen</t>
  </si>
  <si>
    <t>Summe aller Kontenbestände Ende Jahr + gesamte Ausgaben</t>
  </si>
  <si>
    <t>Stand des Eigenkapitals am 1. Januar</t>
  </si>
  <si>
    <t>Stand des Eigenkapitals am 31. Dezember</t>
  </si>
  <si>
    <t>Kontrolle nach Blatt "Kat. I":</t>
  </si>
  <si>
    <t>Netto Privat</t>
  </si>
  <si>
    <t>Nicht aufgeführte weitere private Vermögenswerte (*=*)</t>
  </si>
  <si>
    <t>Einkünfte / Verluste aus privatem Vermögen, welches in dieser Buchhaltung nicht aufgeführt ist (*=*)</t>
  </si>
  <si>
    <r>
      <t>*</t>
    </r>
    <r>
      <rPr>
        <sz val="10"/>
        <rFont val="Arial"/>
        <family val="2"/>
      </rPr>
      <t xml:space="preserve"> = Das "Allgemeines Eigenkapital (berechnet)" muss mit dem aktuellen Eigenkapital der Vermögensrechnung (o. Inventarwerte) übereinstimmen</t>
    </r>
  </si>
  <si>
    <t>Öffentlicher Verkehr und Velo</t>
  </si>
  <si>
    <t>Zum Abschluss gehören auch die beiden Formulare "Ergänzungen zum Abschluss" (Ziffern 3-9) und "Inventar" (Ziffern 11-21).</t>
  </si>
  <si>
    <t xml:space="preserve"> - Gelb markierte Zellen stehen für Eingaben des Benutzers zur Verfügung.</t>
  </si>
  <si>
    <t xml:space="preserve"> - Violett markierte Zellen enthalten Formeln, welche in besonderen Fällen von</t>
  </si>
  <si>
    <t xml:space="preserve">   Hand überschrieben werden können (bei Verschiebungen von Konto zu Konto).</t>
  </si>
  <si>
    <t xml:space="preserve">   Bei der Überschreibung werden sie zerstört. Um sie allenfalls wieder herzustellen</t>
  </si>
  <si>
    <t xml:space="preserve">   einfach eine benachbarte unbeschädigte Zelle an ihren Platz kopieren.</t>
  </si>
  <si>
    <t xml:space="preserve"> - Weisse Zellen sind gesperrt. Sie enthalten Formeln und Funktionen, welche</t>
  </si>
  <si>
    <t xml:space="preserve">   nicht verändert werden dürfen oder liegen ausserhalb des Arbeitsbereiches.</t>
  </si>
  <si>
    <t>B u c h u n g s b e i s p i e le  :   Reguläre Buchungen und Sonderfälle</t>
  </si>
  <si>
    <t>Das Jahr fängt gut an: Kleiner Lottogewinn (reguläre Bareinnahme &gt; Kasse)</t>
  </si>
  <si>
    <t>Chalet gemietet für Skiferien im Wallis (reguläre Ausgabe)</t>
  </si>
  <si>
    <t>Kosten Skilift, bar bezahlt (reguläre Ausgabe)</t>
  </si>
  <si>
    <t>Steuern bezahlt (reguläre Ausgabe)</t>
  </si>
  <si>
    <t>Steuerrückzahlung von Kanton (Sonderfall: Nachträgliche Ausgabenminderung)</t>
  </si>
  <si>
    <t>Rückzahlung von irrtümlich zuviel erhaltenem Lohn (Einnahmenminderung)</t>
  </si>
  <si>
    <t>Verschiebungen direkt in den violetten Bereich hineinschreiben !</t>
  </si>
  <si>
    <t>Ladenverkauf</t>
  </si>
  <si>
    <t>Verkauf über Internet</t>
  </si>
  <si>
    <t>Ladenmiete</t>
  </si>
  <si>
    <t>Werbeausgaben</t>
  </si>
  <si>
    <t>Löhne</t>
  </si>
  <si>
    <t>Lohn Nebenerwerb</t>
  </si>
  <si>
    <t>HINWEIS für Selbsteinträge: Nur positive Zahlen (schwarze Schrift) eintragen, auch auf der Passivenseite</t>
  </si>
  <si>
    <t>H i n w e i s e und Beispielbuchungen:   (Lesen und alles im gelben Bereich anschliessend löschen):</t>
  </si>
  <si>
    <t>Von Lohnkonto an Kasse (erfolgsneutrale Verschiebung von Konto Nr. 2 zu 1)</t>
  </si>
  <si>
    <t>Lohn Nebenerwerb (reguläre Einnahme auf Lohnkonto)</t>
  </si>
</sst>
</file>

<file path=xl/styles.xml><?xml version="1.0" encoding="utf-8"?>
<styleSheet xmlns="http://schemas.openxmlformats.org/spreadsheetml/2006/main">
  <numFmts count="13">
    <numFmt numFmtId="164" formatCode="d/\ mmmm\ "/>
    <numFmt numFmtId="165" formatCode="#,##0.00;[Red]\-\ #,##0.00;"/>
    <numFmt numFmtId="166" formatCode="#,##0.00;[Red]\-\ #,##0.00;0.00"/>
    <numFmt numFmtId="167" formatCode="\+\ #,##0.00;[Red]\-\ #,##0.00;0.00"/>
    <numFmt numFmtId="168" formatCode="#,##0.00;[Red]\-#,##0.00;"/>
    <numFmt numFmtId="169" formatCode="#,##0.00;[Red]\-#,##0.00;0.00"/>
    <numFmt numFmtId="170" formatCode="#,##0.00;[Red]\-\ #,##0.00;[Red]0.00"/>
    <numFmt numFmtId="171" formatCode="&quot;Auszug erstellt am &quot;d/\ mmmm\ yy\ \ \ h:mm\ &quot;Uhr&quot;"/>
    <numFmt numFmtId="172" formatCode="#,##0.00;\-\ #,##0.00;0.00"/>
    <numFmt numFmtId="173" formatCode="d/\ mmmm\ yyyy"/>
    <numFmt numFmtId="174" formatCode=";;;"/>
    <numFmt numFmtId="175" formatCode="#,##0.\ 00;[Red]\-#,##0.\ 00;"/>
    <numFmt numFmtId="176" formatCode="#,##0.\ 00;[Red]\-#,##0.\ 00"/>
  </numFmts>
  <fonts count="36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</font>
    <font>
      <b/>
      <u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name val="MS Sans Serif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55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9"/>
      </bottom>
      <diagonal/>
    </border>
    <border>
      <left/>
      <right style="thick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64"/>
      </left>
      <right style="thick">
        <color indexed="64"/>
      </right>
      <top/>
      <bottom style="hair">
        <color indexed="10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ck">
        <color indexed="64"/>
      </right>
      <top/>
      <bottom style="hair">
        <color indexed="8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10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hair">
        <color indexed="10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438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166" fontId="0" fillId="0" borderId="7" xfId="0" applyNumberFormat="1" applyBorder="1" applyAlignment="1" applyProtection="1">
      <alignment horizontal="right"/>
    </xf>
    <xf numFmtId="167" fontId="0" fillId="0" borderId="7" xfId="0" applyNumberFormat="1" applyBorder="1" applyAlignment="1" applyProtection="1">
      <alignment horizontal="right"/>
    </xf>
    <xf numFmtId="167" fontId="0" fillId="0" borderId="8" xfId="0" applyNumberFormat="1" applyBorder="1" applyAlignment="1" applyProtection="1">
      <alignment horizontal="right"/>
    </xf>
    <xf numFmtId="166" fontId="0" fillId="0" borderId="9" xfId="0" applyNumberForma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0" xfId="0" applyFont="1" applyProtection="1"/>
    <xf numFmtId="0" fontId="1" fillId="0" borderId="4" xfId="0" applyFont="1" applyBorder="1" applyAlignment="1" applyProtection="1">
      <alignment horizontal="center" vertical="top"/>
    </xf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14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20" fillId="0" borderId="0" xfId="1" applyFont="1" applyProtection="1">
      <protection hidden="1"/>
    </xf>
    <xf numFmtId="0" fontId="13" fillId="0" borderId="0" xfId="1" applyFont="1" applyAlignment="1" applyProtection="1">
      <alignment horizontal="center"/>
      <protection hidden="1"/>
    </xf>
    <xf numFmtId="0" fontId="13" fillId="0" borderId="10" xfId="1" applyFont="1" applyBorder="1" applyAlignment="1" applyProtection="1">
      <alignment horizontal="left"/>
      <protection hidden="1"/>
    </xf>
    <xf numFmtId="0" fontId="13" fillId="0" borderId="11" xfId="1" applyNumberFormat="1" applyFont="1" applyBorder="1" applyAlignment="1" applyProtection="1">
      <alignment horizontal="left"/>
      <protection hidden="1"/>
    </xf>
    <xf numFmtId="166" fontId="13" fillId="0" borderId="12" xfId="1" applyNumberFormat="1" applyFont="1" applyBorder="1" applyAlignment="1" applyProtection="1">
      <alignment horizontal="right"/>
      <protection hidden="1"/>
    </xf>
    <xf numFmtId="0" fontId="22" fillId="0" borderId="11" xfId="1" applyNumberFormat="1" applyFont="1" applyBorder="1" applyAlignment="1" applyProtection="1">
      <alignment horizontal="left"/>
      <protection hidden="1"/>
    </xf>
    <xf numFmtId="169" fontId="13" fillId="2" borderId="12" xfId="1" applyNumberFormat="1" applyFont="1" applyFill="1" applyBorder="1" applyAlignment="1" applyProtection="1">
      <alignment horizontal="right"/>
      <protection locked="0" hidden="1"/>
    </xf>
    <xf numFmtId="0" fontId="21" fillId="0" borderId="11" xfId="1" applyNumberFormat="1" applyFont="1" applyBorder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centerContinuous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/>
      <protection locked="0" hidden="1"/>
    </xf>
    <xf numFmtId="0" fontId="13" fillId="2" borderId="2" xfId="0" applyFont="1" applyFill="1" applyBorder="1" applyAlignment="1" applyProtection="1">
      <alignment vertical="center"/>
      <protection locked="0" hidden="1"/>
    </xf>
    <xf numFmtId="166" fontId="13" fillId="0" borderId="15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locked="0" hidden="1"/>
    </xf>
    <xf numFmtId="0" fontId="15" fillId="0" borderId="16" xfId="0" applyFont="1" applyFill="1" applyBorder="1" applyAlignment="1" applyProtection="1">
      <alignment vertical="center"/>
      <protection hidden="1"/>
    </xf>
    <xf numFmtId="0" fontId="13" fillId="0" borderId="17" xfId="0" applyFont="1" applyFill="1" applyBorder="1" applyProtection="1">
      <protection hidden="1"/>
    </xf>
    <xf numFmtId="166" fontId="13" fillId="0" borderId="6" xfId="0" applyNumberFormat="1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3" fillId="0" borderId="19" xfId="0" applyFont="1" applyFill="1" applyBorder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166" fontId="16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centerContinuous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66" fontId="13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16" xfId="0" applyFont="1" applyBorder="1" applyAlignment="1" applyProtection="1">
      <alignment vertical="center"/>
      <protection hidden="1"/>
    </xf>
    <xf numFmtId="0" fontId="13" fillId="0" borderId="17" xfId="0" applyFont="1" applyBorder="1" applyProtection="1">
      <protection hidden="1"/>
    </xf>
    <xf numFmtId="166" fontId="13" fillId="0" borderId="6" xfId="0" applyNumberFormat="1" applyFont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0" fontId="13" fillId="0" borderId="19" xfId="0" applyFont="1" applyBorder="1" applyProtection="1"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1" fillId="0" borderId="23" xfId="0" applyFont="1" applyBorder="1" applyAlignment="1" applyProtection="1">
      <alignment horizontal="center"/>
    </xf>
    <xf numFmtId="0" fontId="1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NumberFormat="1" applyProtection="1"/>
    <xf numFmtId="0" fontId="8" fillId="0" borderId="0" xfId="0" applyNumberFormat="1" applyFont="1" applyProtection="1"/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horizontal="centerContinuous"/>
    </xf>
    <xf numFmtId="0" fontId="0" fillId="0" borderId="24" xfId="0" applyNumberFormat="1" applyBorder="1" applyProtection="1"/>
    <xf numFmtId="0" fontId="0" fillId="0" borderId="25" xfId="0" applyNumberFormat="1" applyBorder="1" applyProtection="1"/>
    <xf numFmtId="0" fontId="0" fillId="0" borderId="26" xfId="0" applyNumberFormat="1" applyBorder="1" applyProtection="1"/>
    <xf numFmtId="0" fontId="1" fillId="0" borderId="27" xfId="0" applyNumberFormat="1" applyFont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vertical="center"/>
      <protection hidden="1"/>
    </xf>
    <xf numFmtId="0" fontId="16" fillId="0" borderId="28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3" fillId="3" borderId="30" xfId="0" applyFont="1" applyFill="1" applyBorder="1" applyAlignment="1" applyProtection="1">
      <alignment horizontal="center"/>
      <protection hidden="1"/>
    </xf>
    <xf numFmtId="0" fontId="13" fillId="4" borderId="30" xfId="0" applyFont="1" applyFill="1" applyBorder="1" applyAlignment="1" applyProtection="1">
      <alignment horizontal="center"/>
      <protection hidden="1"/>
    </xf>
    <xf numFmtId="0" fontId="13" fillId="5" borderId="30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center"/>
      <protection hidden="1"/>
    </xf>
    <xf numFmtId="0" fontId="13" fillId="7" borderId="30" xfId="0" applyFont="1" applyFill="1" applyBorder="1" applyAlignment="1" applyProtection="1">
      <alignment horizontal="center"/>
      <protection hidden="1"/>
    </xf>
    <xf numFmtId="0" fontId="13" fillId="8" borderId="30" xfId="0" applyFont="1" applyFill="1" applyBorder="1" applyAlignment="1" applyProtection="1">
      <alignment horizontal="center"/>
      <protection hidden="1"/>
    </xf>
    <xf numFmtId="0" fontId="13" fillId="9" borderId="30" xfId="0" applyFont="1" applyFill="1" applyBorder="1" applyAlignment="1" applyProtection="1">
      <alignment horizontal="center"/>
      <protection hidden="1"/>
    </xf>
    <xf numFmtId="0" fontId="13" fillId="10" borderId="3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167" fontId="13" fillId="0" borderId="0" xfId="0" applyNumberFormat="1" applyFont="1" applyAlignment="1" applyProtection="1">
      <alignment horizontal="center"/>
      <protection hidden="1"/>
    </xf>
    <xf numFmtId="166" fontId="13" fillId="0" borderId="31" xfId="0" applyNumberFormat="1" applyFont="1" applyFill="1" applyBorder="1" applyAlignment="1" applyProtection="1">
      <alignment horizontal="center"/>
      <protection hidden="1"/>
    </xf>
    <xf numFmtId="170" fontId="13" fillId="0" borderId="31" xfId="0" applyNumberFormat="1" applyFont="1" applyFill="1" applyBorder="1" applyAlignment="1" applyProtection="1">
      <alignment horizont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Fill="1" applyProtection="1">
      <protection hidden="1"/>
    </xf>
    <xf numFmtId="0" fontId="13" fillId="11" borderId="30" xfId="0" applyFont="1" applyFill="1" applyBorder="1" applyAlignment="1" applyProtection="1">
      <alignment horizontal="center"/>
      <protection hidden="1"/>
    </xf>
    <xf numFmtId="0" fontId="13" fillId="12" borderId="30" xfId="0" applyFont="1" applyFill="1" applyBorder="1" applyAlignment="1" applyProtection="1">
      <alignment horizontal="center"/>
      <protection hidden="1"/>
    </xf>
    <xf numFmtId="0" fontId="13" fillId="2" borderId="32" xfId="0" applyFont="1" applyFill="1" applyBorder="1" applyAlignment="1" applyProtection="1">
      <alignment horizontal="center"/>
      <protection locked="0" hidden="1"/>
    </xf>
    <xf numFmtId="0" fontId="13" fillId="0" borderId="32" xfId="0" applyFont="1" applyFill="1" applyBorder="1" applyAlignment="1" applyProtection="1">
      <alignment horizontal="center"/>
      <protection hidden="1"/>
    </xf>
    <xf numFmtId="166" fontId="16" fillId="0" borderId="33" xfId="0" applyNumberFormat="1" applyFont="1" applyFill="1" applyBorder="1" applyAlignment="1" applyProtection="1">
      <alignment horizontal="center" vertical="center"/>
      <protection hidden="1"/>
    </xf>
    <xf numFmtId="166" fontId="16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center" vertical="center"/>
      <protection hidden="1"/>
    </xf>
    <xf numFmtId="166" fontId="13" fillId="0" borderId="6" xfId="0" applyNumberFormat="1" applyFont="1" applyFill="1" applyBorder="1" applyAlignment="1" applyProtection="1">
      <alignment horizontal="center" vertical="center"/>
      <protection hidden="1"/>
    </xf>
    <xf numFmtId="166" fontId="13" fillId="0" borderId="5" xfId="0" applyNumberFormat="1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166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166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168" fontId="13" fillId="0" borderId="0" xfId="0" applyNumberFormat="1" applyFont="1" applyFill="1" applyAlignment="1" applyProtection="1">
      <alignment horizontal="center"/>
      <protection hidden="1"/>
    </xf>
    <xf numFmtId="0" fontId="23" fillId="0" borderId="39" xfId="0" applyFont="1" applyBorder="1" applyAlignment="1" applyProtection="1">
      <alignment horizontal="center"/>
    </xf>
    <xf numFmtId="0" fontId="23" fillId="0" borderId="40" xfId="0" applyFont="1" applyBorder="1" applyAlignment="1" applyProtection="1">
      <alignment horizontal="center"/>
    </xf>
    <xf numFmtId="0" fontId="25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Protection="1">
      <protection hidden="1"/>
    </xf>
    <xf numFmtId="0" fontId="25" fillId="0" borderId="5" xfId="0" applyFont="1" applyFill="1" applyBorder="1" applyAlignment="1" applyProtection="1">
      <alignment horizontal="center" vertical="center"/>
      <protection hidden="1"/>
    </xf>
    <xf numFmtId="0" fontId="25" fillId="0" borderId="41" xfId="0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vertical="center"/>
      <protection hidden="1"/>
    </xf>
    <xf numFmtId="0" fontId="25" fillId="0" borderId="16" xfId="0" applyFont="1" applyFill="1" applyBorder="1" applyAlignment="1" applyProtection="1">
      <alignment vertical="center"/>
      <protection hidden="1"/>
    </xf>
    <xf numFmtId="0" fontId="6" fillId="0" borderId="27" xfId="0" applyFont="1" applyFill="1" applyBorder="1" applyProtection="1">
      <protection hidden="1"/>
    </xf>
    <xf numFmtId="166" fontId="6" fillId="0" borderId="42" xfId="0" applyNumberFormat="1" applyFont="1" applyFill="1" applyBorder="1" applyAlignment="1" applyProtection="1">
      <alignment vertical="center"/>
      <protection hidden="1"/>
    </xf>
    <xf numFmtId="0" fontId="27" fillId="0" borderId="18" xfId="0" applyFont="1" applyFill="1" applyBorder="1" applyAlignment="1" applyProtection="1">
      <alignment vertical="center"/>
      <protection hidden="1"/>
    </xf>
    <xf numFmtId="0" fontId="6" fillId="0" borderId="19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166" fontId="27" fillId="0" borderId="0" xfId="0" applyNumberFormat="1" applyFont="1" applyFill="1" applyBorder="1" applyAlignment="1" applyProtection="1">
      <alignment vertical="center"/>
      <protection hidden="1"/>
    </xf>
    <xf numFmtId="0" fontId="25" fillId="0" borderId="44" xfId="0" applyFont="1" applyFill="1" applyBorder="1" applyAlignment="1" applyProtection="1">
      <alignment horizontal="center" vertical="center"/>
      <protection hidden="1"/>
    </xf>
    <xf numFmtId="166" fontId="6" fillId="0" borderId="44" xfId="0" applyNumberFormat="1" applyFont="1" applyFill="1" applyBorder="1" applyAlignment="1" applyProtection="1">
      <alignment vertical="center"/>
      <protection hidden="1"/>
    </xf>
    <xf numFmtId="0" fontId="25" fillId="0" borderId="45" xfId="0" applyFont="1" applyFill="1" applyBorder="1" applyAlignment="1" applyProtection="1">
      <alignment horizontal="center" vertical="center"/>
      <protection hidden="1"/>
    </xf>
    <xf numFmtId="166" fontId="6" fillId="0" borderId="45" xfId="0" applyNumberFormat="1" applyFont="1" applyFill="1" applyBorder="1" applyAlignment="1" applyProtection="1">
      <alignment vertical="center"/>
      <protection hidden="1"/>
    </xf>
    <xf numFmtId="172" fontId="27" fillId="0" borderId="33" xfId="0" applyNumberFormat="1" applyFont="1" applyFill="1" applyBorder="1" applyAlignment="1" applyProtection="1">
      <alignment vertical="center"/>
      <protection hidden="1"/>
    </xf>
    <xf numFmtId="172" fontId="16" fillId="0" borderId="33" xfId="0" applyNumberFormat="1" applyFont="1" applyBorder="1" applyAlignment="1" applyProtection="1">
      <alignment vertical="center"/>
      <protection hidden="1"/>
    </xf>
    <xf numFmtId="172" fontId="16" fillId="0" borderId="33" xfId="0" applyNumberFormat="1" applyFont="1" applyFill="1" applyBorder="1" applyAlignment="1" applyProtection="1">
      <alignment vertical="center"/>
      <protection hidden="1"/>
    </xf>
    <xf numFmtId="0" fontId="8" fillId="0" borderId="0" xfId="1" applyFont="1" applyProtection="1">
      <protection locked="0" hidden="1"/>
    </xf>
    <xf numFmtId="0" fontId="8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13" fillId="3" borderId="29" xfId="0" applyFont="1" applyFill="1" applyBorder="1" applyAlignment="1" applyProtection="1">
      <alignment horizontal="center" vertical="center"/>
      <protection hidden="1"/>
    </xf>
    <xf numFmtId="0" fontId="13" fillId="4" borderId="29" xfId="0" applyFont="1" applyFill="1" applyBorder="1" applyAlignment="1" applyProtection="1">
      <alignment horizontal="center" vertical="center"/>
      <protection hidden="1"/>
    </xf>
    <xf numFmtId="0" fontId="28" fillId="0" borderId="0" xfId="2" applyFont="1"/>
    <xf numFmtId="0" fontId="6" fillId="0" borderId="0" xfId="2" applyFont="1"/>
    <xf numFmtId="0" fontId="6" fillId="0" borderId="0" xfId="2" applyFont="1" applyAlignment="1">
      <alignment horizontal="right"/>
    </xf>
    <xf numFmtId="0" fontId="6" fillId="0" borderId="10" xfId="2" applyFont="1" applyBorder="1"/>
    <xf numFmtId="0" fontId="6" fillId="0" borderId="21" xfId="2" applyFont="1" applyBorder="1"/>
    <xf numFmtId="0" fontId="6" fillId="0" borderId="11" xfId="2" applyFont="1" applyBorder="1"/>
    <xf numFmtId="0" fontId="6" fillId="0" borderId="1" xfId="2" applyFont="1" applyBorder="1" applyAlignment="1">
      <alignment horizontal="center"/>
    </xf>
    <xf numFmtId="0" fontId="6" fillId="0" borderId="10" xfId="2" applyFont="1" applyBorder="1" applyAlignment="1">
      <alignment horizontal="centerContinuous"/>
    </xf>
    <xf numFmtId="0" fontId="6" fillId="0" borderId="21" xfId="2" applyFont="1" applyBorder="1" applyAlignment="1">
      <alignment horizontal="centerContinuous"/>
    </xf>
    <xf numFmtId="0" fontId="6" fillId="0" borderId="11" xfId="2" applyFont="1" applyBorder="1" applyAlignment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173" fontId="6" fillId="0" borderId="12" xfId="2" applyNumberFormat="1" applyFont="1" applyBorder="1"/>
    <xf numFmtId="4" fontId="6" fillId="0" borderId="12" xfId="2" applyNumberFormat="1" applyFont="1" applyBorder="1"/>
    <xf numFmtId="165" fontId="6" fillId="0" borderId="46" xfId="0" applyNumberFormat="1" applyFont="1" applyFill="1" applyBorder="1" applyAlignment="1" applyProtection="1">
      <alignment vertical="center"/>
      <protection hidden="1"/>
    </xf>
    <xf numFmtId="0" fontId="6" fillId="0" borderId="0" xfId="1" applyFont="1" applyProtection="1">
      <protection locked="0" hidden="1"/>
    </xf>
    <xf numFmtId="0" fontId="6" fillId="0" borderId="0" xfId="0" applyFont="1" applyFill="1" applyAlignment="1" applyProtection="1">
      <alignment horizontal="center"/>
      <protection hidden="1"/>
    </xf>
    <xf numFmtId="171" fontId="29" fillId="0" borderId="0" xfId="0" applyNumberFormat="1" applyFont="1" applyFill="1" applyAlignment="1" applyProtection="1">
      <alignment horizontal="center"/>
      <protection hidden="1"/>
    </xf>
    <xf numFmtId="174" fontId="29" fillId="0" borderId="0" xfId="0" applyNumberFormat="1" applyFont="1" applyFill="1" applyProtection="1">
      <protection hidden="1"/>
    </xf>
    <xf numFmtId="174" fontId="29" fillId="0" borderId="0" xfId="0" applyNumberFormat="1" applyFont="1" applyFill="1" applyBorder="1" applyProtection="1">
      <protection hidden="1"/>
    </xf>
    <xf numFmtId="167" fontId="29" fillId="0" borderId="0" xfId="0" applyNumberFormat="1" applyFont="1" applyFill="1" applyAlignment="1" applyProtection="1">
      <alignment horizontal="right"/>
      <protection hidden="1"/>
    </xf>
    <xf numFmtId="169" fontId="29" fillId="0" borderId="0" xfId="0" applyNumberFormat="1" applyFont="1" applyFill="1" applyBorder="1" applyProtection="1">
      <protection hidden="1"/>
    </xf>
    <xf numFmtId="165" fontId="0" fillId="0" borderId="0" xfId="0" applyNumberFormat="1" applyFill="1" applyProtection="1">
      <protection hidden="1"/>
    </xf>
    <xf numFmtId="0" fontId="13" fillId="2" borderId="0" xfId="0" applyFont="1" applyFill="1" applyProtection="1">
      <protection hidden="1"/>
    </xf>
    <xf numFmtId="0" fontId="0" fillId="0" borderId="47" xfId="0" applyFill="1" applyBorder="1"/>
    <xf numFmtId="165" fontId="0" fillId="0" borderId="47" xfId="0" applyNumberFormat="1" applyFill="1" applyBorder="1"/>
    <xf numFmtId="0" fontId="30" fillId="0" borderId="0" xfId="0" applyFont="1" applyFill="1" applyProtection="1"/>
    <xf numFmtId="0" fontId="32" fillId="0" borderId="0" xfId="0" applyFont="1" applyFill="1"/>
    <xf numFmtId="0" fontId="30" fillId="0" borderId="0" xfId="0" applyFont="1" applyFill="1"/>
    <xf numFmtId="16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0" fontId="16" fillId="0" borderId="0" xfId="0" applyFont="1" applyFill="1" applyAlignment="1">
      <alignment horizontal="center"/>
    </xf>
    <xf numFmtId="49" fontId="8" fillId="0" borderId="0" xfId="0" applyNumberFormat="1" applyFont="1" applyFill="1"/>
    <xf numFmtId="49" fontId="0" fillId="0" borderId="0" xfId="0" applyNumberForma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165" fontId="0" fillId="0" borderId="51" xfId="0" applyNumberFormat="1" applyFill="1" applyBorder="1"/>
    <xf numFmtId="0" fontId="15" fillId="0" borderId="0" xfId="0" applyFont="1" applyFill="1"/>
    <xf numFmtId="165" fontId="15" fillId="0" borderId="0" xfId="0" applyNumberFormat="1" applyFont="1" applyFill="1"/>
    <xf numFmtId="10" fontId="15" fillId="0" borderId="0" xfId="0" applyNumberFormat="1" applyFont="1" applyFill="1"/>
    <xf numFmtId="0" fontId="31" fillId="0" borderId="0" xfId="0" applyFont="1" applyFill="1"/>
    <xf numFmtId="0" fontId="0" fillId="0" borderId="47" xfId="0" applyFill="1" applyBorder="1" applyProtection="1"/>
    <xf numFmtId="0" fontId="0" fillId="0" borderId="52" xfId="0" applyFill="1" applyBorder="1"/>
    <xf numFmtId="0" fontId="0" fillId="0" borderId="53" xfId="0" applyFill="1" applyBorder="1" applyProtection="1"/>
    <xf numFmtId="0" fontId="0" fillId="0" borderId="54" xfId="0" applyFill="1" applyBorder="1"/>
    <xf numFmtId="0" fontId="0" fillId="0" borderId="54" xfId="0" applyFill="1" applyBorder="1" applyAlignment="1">
      <alignment horizontal="center"/>
    </xf>
    <xf numFmtId="0" fontId="5" fillId="0" borderId="0" xfId="0" applyFont="1" applyProtection="1"/>
    <xf numFmtId="0" fontId="15" fillId="0" borderId="0" xfId="0" applyFont="1" applyProtection="1"/>
    <xf numFmtId="0" fontId="0" fillId="0" borderId="0" xfId="0" applyAlignment="1" applyProtection="1">
      <alignment horizontal="center"/>
    </xf>
    <xf numFmtId="0" fontId="13" fillId="0" borderId="0" xfId="0" applyFont="1" applyProtection="1"/>
    <xf numFmtId="176" fontId="15" fillId="0" borderId="0" xfId="0" applyNumberFormat="1" applyFont="1" applyFill="1" applyProtection="1"/>
    <xf numFmtId="0" fontId="0" fillId="0" borderId="0" xfId="0" applyFill="1" applyProtection="1"/>
    <xf numFmtId="175" fontId="13" fillId="0" borderId="0" xfId="0" applyNumberFormat="1" applyFont="1" applyFill="1" applyProtection="1"/>
    <xf numFmtId="166" fontId="13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0" fontId="13" fillId="3" borderId="29" xfId="0" applyFont="1" applyFill="1" applyBorder="1" applyAlignment="1" applyProtection="1">
      <alignment horizontal="center" vertical="center"/>
      <protection locked="0" hidden="1"/>
    </xf>
    <xf numFmtId="0" fontId="13" fillId="4" borderId="29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Protection="1"/>
    <xf numFmtId="40" fontId="0" fillId="0" borderId="0" xfId="0" applyNumberFormat="1" applyFill="1" applyProtection="1"/>
    <xf numFmtId="0" fontId="6" fillId="0" borderId="0" xfId="0" applyFont="1" applyAlignment="1" applyProtection="1">
      <alignment horizontal="center"/>
    </xf>
    <xf numFmtId="40" fontId="0" fillId="2" borderId="12" xfId="0" applyNumberFormat="1" applyFill="1" applyBorder="1" applyProtection="1">
      <protection locked="0"/>
    </xf>
    <xf numFmtId="0" fontId="15" fillId="0" borderId="10" xfId="0" applyFont="1" applyBorder="1" applyProtection="1"/>
    <xf numFmtId="40" fontId="0" fillId="2" borderId="11" xfId="0" applyNumberFormat="1" applyFill="1" applyBorder="1" applyProtection="1">
      <protection locked="0"/>
    </xf>
    <xf numFmtId="40" fontId="0" fillId="2" borderId="1" xfId="0" applyNumberFormat="1" applyFill="1" applyBorder="1" applyProtection="1">
      <protection locked="0"/>
    </xf>
    <xf numFmtId="0" fontId="0" fillId="0" borderId="55" xfId="0" applyBorder="1" applyProtection="1"/>
    <xf numFmtId="0" fontId="0" fillId="2" borderId="56" xfId="0" applyFill="1" applyBorder="1" applyProtection="1">
      <protection locked="0"/>
    </xf>
    <xf numFmtId="0" fontId="6" fillId="0" borderId="57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/>
    </xf>
    <xf numFmtId="0" fontId="0" fillId="0" borderId="59" xfId="0" applyBorder="1" applyProtection="1"/>
    <xf numFmtId="0" fontId="0" fillId="2" borderId="60" xfId="0" applyFill="1" applyBorder="1" applyProtection="1">
      <protection locked="0"/>
    </xf>
    <xf numFmtId="0" fontId="6" fillId="0" borderId="61" xfId="0" applyFont="1" applyBorder="1" applyAlignment="1" applyProtection="1">
      <alignment horizontal="center"/>
    </xf>
    <xf numFmtId="0" fontId="0" fillId="0" borderId="30" xfId="0" applyBorder="1" applyProtection="1"/>
    <xf numFmtId="0" fontId="0" fillId="0" borderId="31" xfId="0" applyBorder="1" applyProtection="1"/>
    <xf numFmtId="0" fontId="0" fillId="0" borderId="62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0" fillId="0" borderId="64" xfId="0" applyBorder="1" applyAlignment="1" applyProtection="1">
      <alignment horizontal="center"/>
    </xf>
    <xf numFmtId="0" fontId="0" fillId="0" borderId="65" xfId="0" applyBorder="1" applyProtection="1"/>
    <xf numFmtId="0" fontId="6" fillId="0" borderId="66" xfId="0" applyFont="1" applyBorder="1" applyAlignment="1" applyProtection="1">
      <alignment horizontal="center"/>
    </xf>
    <xf numFmtId="40" fontId="0" fillId="2" borderId="67" xfId="0" applyNumberFormat="1" applyFill="1" applyBorder="1" applyProtection="1">
      <protection locked="0"/>
    </xf>
    <xf numFmtId="40" fontId="0" fillId="2" borderId="68" xfId="0" applyNumberFormat="1" applyFill="1" applyBorder="1" applyProtection="1">
      <protection locked="0"/>
    </xf>
    <xf numFmtId="40" fontId="0" fillId="2" borderId="69" xfId="0" applyNumberFormat="1" applyFill="1" applyBorder="1" applyProtection="1">
      <protection locked="0"/>
    </xf>
    <xf numFmtId="40" fontId="0" fillId="2" borderId="70" xfId="0" applyNumberFormat="1" applyFill="1" applyBorder="1" applyProtection="1">
      <protection locked="0"/>
    </xf>
    <xf numFmtId="0" fontId="15" fillId="0" borderId="64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center"/>
    </xf>
    <xf numFmtId="0" fontId="0" fillId="0" borderId="48" xfId="0" applyBorder="1" applyProtection="1"/>
    <xf numFmtId="0" fontId="0" fillId="2" borderId="71" xfId="0" applyFill="1" applyBorder="1" applyProtection="1">
      <protection locked="0"/>
    </xf>
    <xf numFmtId="0" fontId="0" fillId="2" borderId="72" xfId="0" applyFill="1" applyBorder="1" applyProtection="1">
      <protection locked="0"/>
    </xf>
    <xf numFmtId="40" fontId="0" fillId="2" borderId="73" xfId="0" applyNumberFormat="1" applyFill="1" applyBorder="1" applyProtection="1">
      <protection locked="0"/>
    </xf>
    <xf numFmtId="176" fontId="13" fillId="0" borderId="0" xfId="0" applyNumberFormat="1" applyFont="1" applyFill="1" applyProtection="1"/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0" fillId="0" borderId="43" xfId="0" applyBorder="1" applyProtection="1"/>
    <xf numFmtId="0" fontId="0" fillId="0" borderId="74" xfId="0" applyBorder="1" applyProtection="1"/>
    <xf numFmtId="0" fontId="0" fillId="0" borderId="29" xfId="0" applyBorder="1" applyProtection="1"/>
    <xf numFmtId="0" fontId="13" fillId="0" borderId="48" xfId="0" applyFont="1" applyBorder="1" applyProtection="1"/>
    <xf numFmtId="0" fontId="15" fillId="0" borderId="21" xfId="0" applyFont="1" applyBorder="1" applyProtection="1"/>
    <xf numFmtId="40" fontId="16" fillId="0" borderId="0" xfId="0" applyNumberFormat="1" applyFont="1" applyProtection="1"/>
    <xf numFmtId="0" fontId="16" fillId="0" borderId="0" xfId="0" applyFont="1" applyFill="1" applyBorder="1" applyProtection="1"/>
    <xf numFmtId="40" fontId="0" fillId="0" borderId="75" xfId="0" applyNumberFormat="1" applyFill="1" applyBorder="1" applyProtection="1"/>
    <xf numFmtId="40" fontId="0" fillId="0" borderId="76" xfId="0" applyNumberFormat="1" applyFill="1" applyBorder="1" applyProtection="1"/>
    <xf numFmtId="40" fontId="0" fillId="2" borderId="77" xfId="0" applyNumberFormat="1" applyFill="1" applyBorder="1" applyProtection="1">
      <protection locked="0"/>
    </xf>
    <xf numFmtId="40" fontId="0" fillId="2" borderId="78" xfId="0" applyNumberFormat="1" applyFill="1" applyBorder="1" applyProtection="1">
      <protection locked="0"/>
    </xf>
    <xf numFmtId="40" fontId="0" fillId="0" borderId="78" xfId="0" applyNumberFormat="1" applyFill="1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horizontal="right"/>
    </xf>
    <xf numFmtId="175" fontId="0" fillId="0" borderId="12" xfId="0" applyNumberFormat="1" applyFill="1" applyBorder="1" applyProtection="1"/>
    <xf numFmtId="0" fontId="0" fillId="0" borderId="79" xfId="0" applyBorder="1" applyProtection="1"/>
    <xf numFmtId="0" fontId="0" fillId="0" borderId="80" xfId="0" applyBorder="1" applyProtection="1"/>
    <xf numFmtId="0" fontId="15" fillId="0" borderId="81" xfId="0" applyFont="1" applyBorder="1" applyProtection="1"/>
    <xf numFmtId="0" fontId="15" fillId="0" borderId="82" xfId="0" applyFont="1" applyBorder="1" applyProtection="1"/>
    <xf numFmtId="0" fontId="0" fillId="0" borderId="83" xfId="0" applyBorder="1" applyProtection="1"/>
    <xf numFmtId="0" fontId="0" fillId="0" borderId="67" xfId="0" applyBorder="1" applyProtection="1"/>
    <xf numFmtId="0" fontId="0" fillId="0" borderId="69" xfId="0" applyBorder="1" applyProtection="1"/>
    <xf numFmtId="0" fontId="0" fillId="0" borderId="1" xfId="0" applyBorder="1" applyAlignment="1" applyProtection="1">
      <alignment horizontal="right"/>
    </xf>
    <xf numFmtId="175" fontId="0" fillId="0" borderId="1" xfId="0" applyNumberFormat="1" applyFill="1" applyBorder="1" applyProtection="1"/>
    <xf numFmtId="0" fontId="15" fillId="0" borderId="84" xfId="0" applyFont="1" applyBorder="1" applyProtection="1"/>
    <xf numFmtId="0" fontId="15" fillId="0" borderId="85" xfId="0" applyFont="1" applyBorder="1" applyAlignment="1" applyProtection="1">
      <alignment horizontal="right"/>
    </xf>
    <xf numFmtId="176" fontId="15" fillId="0" borderId="85" xfId="0" applyNumberFormat="1" applyFont="1" applyFill="1" applyBorder="1" applyProtection="1"/>
    <xf numFmtId="176" fontId="15" fillId="0" borderId="86" xfId="0" applyNumberFormat="1" applyFont="1" applyFill="1" applyBorder="1" applyProtection="1"/>
    <xf numFmtId="0" fontId="0" fillId="0" borderId="87" xfId="0" applyBorder="1" applyProtection="1"/>
    <xf numFmtId="0" fontId="0" fillId="0" borderId="88" xfId="0" applyBorder="1" applyProtection="1"/>
    <xf numFmtId="176" fontId="15" fillId="0" borderId="88" xfId="0" applyNumberFormat="1" applyFont="1" applyFill="1" applyBorder="1" applyProtection="1"/>
    <xf numFmtId="0" fontId="0" fillId="0" borderId="88" xfId="0" applyFill="1" applyBorder="1" applyProtection="1"/>
    <xf numFmtId="0" fontId="0" fillId="0" borderId="89" xfId="0" applyFill="1" applyBorder="1" applyProtection="1"/>
    <xf numFmtId="0" fontId="0" fillId="0" borderId="77" xfId="0" applyBorder="1" applyProtection="1"/>
    <xf numFmtId="0" fontId="0" fillId="0" borderId="2" xfId="0" applyBorder="1" applyAlignment="1" applyProtection="1">
      <alignment horizontal="right"/>
    </xf>
    <xf numFmtId="175" fontId="0" fillId="0" borderId="2" xfId="0" applyNumberFormat="1" applyFill="1" applyBorder="1" applyProtection="1"/>
    <xf numFmtId="0" fontId="15" fillId="0" borderId="62" xfId="0" applyFont="1" applyBorder="1" applyProtection="1"/>
    <xf numFmtId="0" fontId="0" fillId="0" borderId="90" xfId="0" applyBorder="1" applyProtection="1"/>
    <xf numFmtId="0" fontId="0" fillId="0" borderId="89" xfId="0" applyBorder="1" applyProtection="1"/>
    <xf numFmtId="0" fontId="0" fillId="0" borderId="0" xfId="0" applyBorder="1" applyProtection="1"/>
    <xf numFmtId="0" fontId="8" fillId="0" borderId="0" xfId="0" applyFont="1" applyFill="1" applyAlignment="1" applyProtection="1">
      <alignment horizontal="center"/>
    </xf>
    <xf numFmtId="0" fontId="0" fillId="0" borderId="88" xfId="0" applyBorder="1" applyAlignment="1" applyProtection="1">
      <alignment horizontal="right"/>
    </xf>
    <xf numFmtId="176" fontId="13" fillId="0" borderId="12" xfId="0" applyNumberFormat="1" applyFont="1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15" fillId="0" borderId="43" xfId="0" applyFont="1" applyBorder="1" applyProtection="1"/>
    <xf numFmtId="175" fontId="15" fillId="0" borderId="2" xfId="0" applyNumberFormat="1" applyFont="1" applyBorder="1" applyProtection="1"/>
    <xf numFmtId="40" fontId="0" fillId="0" borderId="91" xfId="0" applyNumberFormat="1" applyFill="1" applyBorder="1" applyProtection="1"/>
    <xf numFmtId="40" fontId="0" fillId="0" borderId="92" xfId="0" applyNumberFormat="1" applyFill="1" applyBorder="1" applyProtection="1"/>
    <xf numFmtId="40" fontId="0" fillId="0" borderId="68" xfId="0" applyNumberFormat="1" applyFill="1" applyBorder="1" applyProtection="1"/>
    <xf numFmtId="40" fontId="0" fillId="0" borderId="70" xfId="0" applyNumberFormat="1" applyFill="1" applyBorder="1" applyProtection="1"/>
    <xf numFmtId="40" fontId="0" fillId="0" borderId="12" xfId="0" applyNumberFormat="1" applyFill="1" applyBorder="1" applyProtection="1"/>
    <xf numFmtId="40" fontId="0" fillId="0" borderId="77" xfId="0" applyNumberFormat="1" applyFill="1" applyBorder="1" applyProtection="1"/>
    <xf numFmtId="40" fontId="0" fillId="0" borderId="67" xfId="0" applyNumberFormat="1" applyFill="1" applyBorder="1" applyProtection="1"/>
    <xf numFmtId="40" fontId="0" fillId="0" borderId="69" xfId="0" applyNumberFormat="1" applyFill="1" applyBorder="1" applyProtection="1"/>
    <xf numFmtId="4" fontId="6" fillId="0" borderId="0" xfId="2" applyNumberFormat="1" applyFont="1"/>
    <xf numFmtId="0" fontId="6" fillId="1" borderId="93" xfId="2" applyFont="1" applyFill="1" applyBorder="1" applyProtection="1">
      <protection locked="0"/>
    </xf>
    <xf numFmtId="173" fontId="6" fillId="0" borderId="93" xfId="2" applyNumberFormat="1" applyFont="1" applyBorder="1" applyProtection="1">
      <protection locked="0"/>
    </xf>
    <xf numFmtId="4" fontId="6" fillId="0" borderId="93" xfId="2" applyNumberFormat="1" applyFont="1" applyBorder="1" applyProtection="1">
      <protection locked="0"/>
    </xf>
    <xf numFmtId="173" fontId="6" fillId="0" borderId="94" xfId="2" applyNumberFormat="1" applyFont="1" applyBorder="1" applyProtection="1">
      <protection locked="0"/>
    </xf>
    <xf numFmtId="0" fontId="6" fillId="0" borderId="94" xfId="2" applyFont="1" applyBorder="1" applyProtection="1">
      <protection locked="0"/>
    </xf>
    <xf numFmtId="4" fontId="6" fillId="0" borderId="94" xfId="2" applyNumberFormat="1" applyFont="1" applyBorder="1" applyProtection="1">
      <protection locked="0"/>
    </xf>
    <xf numFmtId="0" fontId="6" fillId="0" borderId="95" xfId="2" applyFont="1" applyBorder="1" applyProtection="1">
      <protection locked="0"/>
    </xf>
    <xf numFmtId="173" fontId="6" fillId="0" borderId="96" xfId="2" applyNumberFormat="1" applyFont="1" applyBorder="1" applyProtection="1">
      <protection locked="0"/>
    </xf>
    <xf numFmtId="4" fontId="6" fillId="0" borderId="96" xfId="2" applyNumberFormat="1" applyFont="1" applyBorder="1" applyProtection="1">
      <protection locked="0"/>
    </xf>
    <xf numFmtId="4" fontId="6" fillId="0" borderId="95" xfId="2" applyNumberFormat="1" applyFont="1" applyBorder="1" applyProtection="1">
      <protection locked="0"/>
    </xf>
    <xf numFmtId="0" fontId="6" fillId="0" borderId="96" xfId="2" applyFont="1" applyBorder="1" applyProtection="1">
      <protection locked="0"/>
    </xf>
    <xf numFmtId="0" fontId="6" fillId="0" borderId="0" xfId="2" applyFont="1" applyAlignment="1">
      <alignment horizontal="center"/>
    </xf>
    <xf numFmtId="0" fontId="15" fillId="0" borderId="21" xfId="0" applyFont="1" applyBorder="1" applyAlignment="1" applyProtection="1">
      <alignment horizontal="right"/>
    </xf>
    <xf numFmtId="40" fontId="0" fillId="0" borderId="42" xfId="0" applyNumberFormat="1" applyFill="1" applyBorder="1" applyProtection="1"/>
    <xf numFmtId="0" fontId="15" fillId="0" borderId="10" xfId="0" applyFont="1" applyBorder="1" applyAlignment="1" applyProtection="1"/>
    <xf numFmtId="0" fontId="15" fillId="0" borderId="25" xfId="0" applyFont="1" applyBorder="1" applyAlignment="1" applyProtection="1">
      <alignment horizontal="right"/>
    </xf>
    <xf numFmtId="0" fontId="0" fillId="0" borderId="86" xfId="0" applyBorder="1" applyAlignment="1" applyProtection="1">
      <alignment wrapText="1"/>
    </xf>
    <xf numFmtId="0" fontId="0" fillId="0" borderId="85" xfId="0" applyBorder="1" applyAlignment="1" applyProtection="1">
      <alignment wrapText="1"/>
    </xf>
    <xf numFmtId="0" fontId="0" fillId="0" borderId="62" xfId="0" applyBorder="1" applyProtection="1"/>
    <xf numFmtId="175" fontId="15" fillId="0" borderId="88" xfId="0" applyNumberFormat="1" applyFont="1" applyFill="1" applyBorder="1" applyProtection="1"/>
    <xf numFmtId="176" fontId="15" fillId="0" borderId="64" xfId="0" applyNumberFormat="1" applyFont="1" applyFill="1" applyBorder="1" applyProtection="1"/>
    <xf numFmtId="0" fontId="0" fillId="0" borderId="54" xfId="0" applyBorder="1" applyProtection="1"/>
    <xf numFmtId="0" fontId="0" fillId="0" borderId="97" xfId="0" applyBorder="1" applyProtection="1"/>
    <xf numFmtId="0" fontId="0" fillId="0" borderId="63" xfId="0" applyBorder="1" applyProtection="1"/>
    <xf numFmtId="0" fontId="6" fillId="0" borderId="63" xfId="0" applyFont="1" applyBorder="1" applyProtection="1"/>
    <xf numFmtId="176" fontId="15" fillId="0" borderId="89" xfId="0" applyNumberFormat="1" applyFont="1" applyFill="1" applyBorder="1" applyProtection="1"/>
    <xf numFmtId="0" fontId="6" fillId="0" borderId="63" xfId="0" applyFont="1" applyBorder="1" applyAlignment="1" applyProtection="1">
      <alignment horizontal="right"/>
    </xf>
    <xf numFmtId="175" fontId="15" fillId="0" borderId="88" xfId="0" applyNumberFormat="1" applyFont="1" applyFill="1" applyBorder="1" applyAlignment="1" applyProtection="1"/>
    <xf numFmtId="0" fontId="13" fillId="0" borderId="0" xfId="0" applyFont="1" applyAlignment="1" applyProtection="1">
      <alignment vertical="top"/>
    </xf>
    <xf numFmtId="0" fontId="0" fillId="0" borderId="81" xfId="0" applyBorder="1" applyProtection="1"/>
    <xf numFmtId="176" fontId="15" fillId="0" borderId="62" xfId="0" applyNumberFormat="1" applyFont="1" applyFill="1" applyBorder="1" applyProtection="1"/>
    <xf numFmtId="0" fontId="0" fillId="0" borderId="85" xfId="0" applyFill="1" applyBorder="1" applyAlignment="1" applyProtection="1">
      <alignment wrapText="1"/>
    </xf>
    <xf numFmtId="0" fontId="0" fillId="0" borderId="98" xfId="0" applyBorder="1" applyProtection="1"/>
    <xf numFmtId="175" fontId="35" fillId="0" borderId="0" xfId="0" applyNumberFormat="1" applyFont="1" applyBorder="1" applyProtection="1"/>
    <xf numFmtId="0" fontId="33" fillId="0" borderId="0" xfId="0" applyFont="1" applyProtection="1"/>
    <xf numFmtId="0" fontId="13" fillId="0" borderId="0" xfId="0" applyFont="1" applyBorder="1" applyProtection="1"/>
    <xf numFmtId="0" fontId="33" fillId="0" borderId="0" xfId="0" applyFont="1" applyBorder="1" applyAlignment="1" applyProtection="1">
      <alignment horizontal="right" vertical="top"/>
    </xf>
    <xf numFmtId="175" fontId="35" fillId="0" borderId="0" xfId="0" applyNumberFormat="1" applyFont="1" applyFill="1" applyBorder="1" applyAlignment="1" applyProtection="1">
      <alignment vertical="top"/>
    </xf>
    <xf numFmtId="172" fontId="34" fillId="0" borderId="0" xfId="0" applyNumberFormat="1" applyFont="1" applyBorder="1" applyAlignment="1" applyProtection="1">
      <alignment horizontal="center" vertical="top"/>
      <protection hidden="1"/>
    </xf>
    <xf numFmtId="172" fontId="34" fillId="0" borderId="0" xfId="0" applyNumberFormat="1" applyFont="1" applyBorder="1" applyAlignment="1" applyProtection="1">
      <alignment vertical="top"/>
      <protection hidden="1"/>
    </xf>
    <xf numFmtId="0" fontId="0" fillId="0" borderId="64" xfId="0" applyBorder="1" applyProtection="1"/>
    <xf numFmtId="40" fontId="0" fillId="0" borderId="48" xfId="0" applyNumberFormat="1" applyFill="1" applyBorder="1" applyProtection="1"/>
    <xf numFmtId="0" fontId="0" fillId="0" borderId="49" xfId="0" applyBorder="1" applyProtection="1"/>
    <xf numFmtId="0" fontId="0" fillId="0" borderId="50" xfId="0" applyBorder="1" applyProtection="1"/>
    <xf numFmtId="0" fontId="0" fillId="0" borderId="99" xfId="0" applyBorder="1" applyProtection="1"/>
    <xf numFmtId="0" fontId="0" fillId="0" borderId="100" xfId="0" applyBorder="1" applyProtection="1"/>
    <xf numFmtId="0" fontId="0" fillId="0" borderId="101" xfId="0" applyBorder="1" applyProtection="1"/>
    <xf numFmtId="0" fontId="0" fillId="0" borderId="102" xfId="0" applyBorder="1" applyProtection="1"/>
    <xf numFmtId="0" fontId="0" fillId="0" borderId="103" xfId="0" applyBorder="1" applyProtection="1"/>
    <xf numFmtId="0" fontId="0" fillId="0" borderId="60" xfId="0" applyBorder="1" applyProtection="1"/>
    <xf numFmtId="0" fontId="0" fillId="0" borderId="104" xfId="0" applyBorder="1" applyProtection="1"/>
    <xf numFmtId="40" fontId="0" fillId="2" borderId="75" xfId="0" applyNumberFormat="1" applyFill="1" applyBorder="1" applyProtection="1">
      <protection locked="0"/>
    </xf>
    <xf numFmtId="40" fontId="0" fillId="2" borderId="76" xfId="0" applyNumberFormat="1" applyFill="1" applyBorder="1" applyProtection="1">
      <protection locked="0"/>
    </xf>
    <xf numFmtId="40" fontId="0" fillId="0" borderId="1" xfId="0" applyNumberFormat="1" applyFill="1" applyBorder="1" applyProtection="1"/>
    <xf numFmtId="40" fontId="0" fillId="12" borderId="65" xfId="0" applyNumberFormat="1" applyFill="1" applyBorder="1" applyProtection="1"/>
    <xf numFmtId="0" fontId="15" fillId="0" borderId="54" xfId="0" applyFont="1" applyBorder="1" applyAlignment="1" applyProtection="1">
      <alignment horizontal="left"/>
    </xf>
    <xf numFmtId="4" fontId="0" fillId="0" borderId="0" xfId="0" applyNumberFormat="1" applyProtection="1"/>
    <xf numFmtId="40" fontId="0" fillId="2" borderId="99" xfId="0" applyNumberFormat="1" applyFill="1" applyBorder="1" applyProtection="1">
      <protection locked="0"/>
    </xf>
    <xf numFmtId="40" fontId="0" fillId="2" borderId="100" xfId="0" applyNumberFormat="1" applyFill="1" applyBorder="1" applyProtection="1">
      <protection locked="0"/>
    </xf>
    <xf numFmtId="40" fontId="0" fillId="2" borderId="21" xfId="0" applyNumberFormat="1" applyFill="1" applyBorder="1" applyProtection="1">
      <protection locked="0"/>
    </xf>
    <xf numFmtId="40" fontId="0" fillId="2" borderId="101" xfId="0" applyNumberFormat="1" applyFill="1" applyBorder="1" applyProtection="1">
      <protection locked="0"/>
    </xf>
    <xf numFmtId="40" fontId="0" fillId="2" borderId="102" xfId="0" applyNumberFormat="1" applyFill="1" applyBorder="1" applyProtection="1">
      <protection locked="0"/>
    </xf>
    <xf numFmtId="40" fontId="0" fillId="2" borderId="103" xfId="0" applyNumberFormat="1" applyFill="1" applyBorder="1" applyProtection="1">
      <protection locked="0"/>
    </xf>
    <xf numFmtId="40" fontId="0" fillId="2" borderId="59" xfId="0" applyNumberFormat="1" applyFill="1" applyBorder="1" applyProtection="1">
      <protection locked="0"/>
    </xf>
    <xf numFmtId="40" fontId="0" fillId="2" borderId="60" xfId="0" applyNumberFormat="1" applyFill="1" applyBorder="1" applyProtection="1">
      <protection locked="0"/>
    </xf>
    <xf numFmtId="40" fontId="0" fillId="2" borderId="104" xfId="0" applyNumberFormat="1" applyFill="1" applyBorder="1" applyProtection="1">
      <protection locked="0"/>
    </xf>
    <xf numFmtId="49" fontId="30" fillId="2" borderId="0" xfId="0" applyNumberFormat="1" applyFont="1" applyFill="1" applyAlignment="1" applyProtection="1">
      <alignment horizontal="right"/>
      <protection locked="0"/>
    </xf>
    <xf numFmtId="0" fontId="0" fillId="2" borderId="94" xfId="0" applyFill="1" applyBorder="1" applyAlignment="1" applyProtection="1">
      <alignment horizontal="center"/>
      <protection locked="0"/>
    </xf>
    <xf numFmtId="0" fontId="0" fillId="2" borderId="96" xfId="0" applyFill="1" applyBorder="1" applyAlignment="1" applyProtection="1">
      <alignment horizontal="center"/>
      <protection locked="0"/>
    </xf>
    <xf numFmtId="0" fontId="0" fillId="2" borderId="95" xfId="0" applyFill="1" applyBorder="1" applyAlignment="1" applyProtection="1">
      <alignment horizontal="center"/>
      <protection locked="0"/>
    </xf>
    <xf numFmtId="0" fontId="0" fillId="2" borderId="96" xfId="0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0" fontId="0" fillId="2" borderId="96" xfId="0" applyFill="1" applyBorder="1" applyProtection="1">
      <protection locked="0"/>
    </xf>
    <xf numFmtId="165" fontId="0" fillId="2" borderId="51" xfId="0" applyNumberFormat="1" applyFill="1" applyBorder="1" applyProtection="1">
      <protection locked="0"/>
    </xf>
    <xf numFmtId="0" fontId="0" fillId="2" borderId="95" xfId="0" applyFill="1" applyBorder="1" applyProtection="1">
      <protection locked="0"/>
    </xf>
    <xf numFmtId="165" fontId="0" fillId="2" borderId="105" xfId="0" applyNumberFormat="1" applyFill="1" applyBorder="1" applyProtection="1">
      <protection locked="0"/>
    </xf>
    <xf numFmtId="0" fontId="0" fillId="13" borderId="94" xfId="0" applyFill="1" applyBorder="1" applyProtection="1">
      <protection locked="0"/>
    </xf>
    <xf numFmtId="165" fontId="0" fillId="13" borderId="106" xfId="0" applyNumberFormat="1" applyFill="1" applyBorder="1" applyProtection="1">
      <protection locked="0"/>
    </xf>
    <xf numFmtId="166" fontId="0" fillId="2" borderId="2" xfId="0" applyNumberFormat="1" applyFill="1" applyBorder="1" applyAlignment="1" applyProtection="1">
      <alignment horizontal="center"/>
      <protection locked="0"/>
    </xf>
    <xf numFmtId="164" fontId="0" fillId="2" borderId="107" xfId="0" applyNumberFormat="1" applyFill="1" applyBorder="1" applyProtection="1">
      <protection locked="0"/>
    </xf>
    <xf numFmtId="49" fontId="0" fillId="2" borderId="108" xfId="0" applyNumberFormat="1" applyFill="1" applyBorder="1" applyProtection="1">
      <protection locked="0"/>
    </xf>
    <xf numFmtId="0" fontId="0" fillId="2" borderId="109" xfId="0" applyNumberFormat="1" applyFill="1" applyBorder="1" applyProtection="1">
      <protection locked="0"/>
    </xf>
    <xf numFmtId="1" fontId="0" fillId="2" borderId="107" xfId="0" applyNumberFormat="1" applyFill="1" applyBorder="1" applyAlignment="1" applyProtection="1">
      <alignment horizontal="center"/>
      <protection locked="0"/>
    </xf>
    <xf numFmtId="165" fontId="0" fillId="2" borderId="110" xfId="0" applyNumberFormat="1" applyFill="1" applyBorder="1" applyProtection="1">
      <protection locked="0"/>
    </xf>
    <xf numFmtId="1" fontId="0" fillId="2" borderId="110" xfId="0" applyNumberFormat="1" applyFill="1" applyBorder="1" applyAlignment="1" applyProtection="1">
      <alignment horizontal="center"/>
      <protection locked="0"/>
    </xf>
    <xf numFmtId="164" fontId="0" fillId="2" borderId="111" xfId="0" applyNumberFormat="1" applyFill="1" applyBorder="1" applyProtection="1">
      <protection locked="0"/>
    </xf>
    <xf numFmtId="49" fontId="0" fillId="2" borderId="94" xfId="0" applyNumberFormat="1" applyFill="1" applyBorder="1" applyProtection="1">
      <protection locked="0"/>
    </xf>
    <xf numFmtId="0" fontId="0" fillId="2" borderId="112" xfId="0" applyNumberFormat="1" applyFill="1" applyBorder="1" applyProtection="1">
      <protection locked="0"/>
    </xf>
    <xf numFmtId="1" fontId="0" fillId="2" borderId="113" xfId="0" applyNumberFormat="1" applyFill="1" applyBorder="1" applyAlignment="1" applyProtection="1">
      <alignment horizontal="center"/>
      <protection locked="0"/>
    </xf>
    <xf numFmtId="165" fontId="0" fillId="2" borderId="114" xfId="0" applyNumberFormat="1" applyFill="1" applyBorder="1" applyProtection="1">
      <protection locked="0"/>
    </xf>
    <xf numFmtId="1" fontId="0" fillId="2" borderId="111" xfId="0" applyNumberFormat="1" applyFill="1" applyBorder="1" applyAlignment="1" applyProtection="1">
      <alignment horizontal="center"/>
      <protection locked="0"/>
    </xf>
    <xf numFmtId="165" fontId="0" fillId="2" borderId="115" xfId="0" applyNumberFormat="1" applyFill="1" applyBorder="1" applyProtection="1">
      <protection locked="0"/>
    </xf>
    <xf numFmtId="1" fontId="0" fillId="2" borderId="115" xfId="0" applyNumberFormat="1" applyFill="1" applyBorder="1" applyAlignment="1" applyProtection="1">
      <alignment horizontal="center"/>
      <protection locked="0"/>
    </xf>
    <xf numFmtId="165" fontId="0" fillId="13" borderId="116" xfId="0" applyNumberFormat="1" applyFill="1" applyBorder="1" applyProtection="1">
      <protection locked="0"/>
    </xf>
    <xf numFmtId="165" fontId="0" fillId="13" borderId="117" xfId="0" applyNumberFormat="1" applyFill="1" applyBorder="1" applyProtection="1">
      <protection locked="0"/>
    </xf>
    <xf numFmtId="0" fontId="0" fillId="2" borderId="118" xfId="0" applyNumberFormat="1" applyFill="1" applyBorder="1" applyProtection="1">
      <protection locked="0"/>
    </xf>
    <xf numFmtId="1" fontId="22" fillId="2" borderId="1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176" fontId="13" fillId="0" borderId="0" xfId="0" applyNumberFormat="1" applyFont="1" applyFill="1" applyBorder="1" applyProtection="1"/>
    <xf numFmtId="175" fontId="13" fillId="0" borderId="0" xfId="0" applyNumberFormat="1" applyFont="1" applyFill="1" applyBorder="1" applyProtection="1"/>
    <xf numFmtId="0" fontId="0" fillId="2" borderId="0" xfId="0" applyFill="1" applyAlignment="1" applyProtection="1">
      <alignment horizontal="center"/>
      <protection locked="0"/>
    </xf>
    <xf numFmtId="175" fontId="0" fillId="2" borderId="78" xfId="0" applyNumberFormat="1" applyFill="1" applyBorder="1" applyProtection="1">
      <protection locked="0"/>
    </xf>
    <xf numFmtId="175" fontId="0" fillId="2" borderId="68" xfId="0" applyNumberFormat="1" applyFill="1" applyBorder="1" applyProtection="1">
      <protection locked="0"/>
    </xf>
    <xf numFmtId="175" fontId="0" fillId="2" borderId="70" xfId="0" applyNumberFormat="1" applyFill="1" applyBorder="1" applyProtection="1">
      <protection locked="0"/>
    </xf>
    <xf numFmtId="0" fontId="6" fillId="12" borderId="97" xfId="0" applyFont="1" applyFill="1" applyBorder="1" applyAlignment="1" applyProtection="1">
      <alignment horizontal="right"/>
    </xf>
    <xf numFmtId="173" fontId="30" fillId="0" borderId="0" xfId="0" applyNumberFormat="1" applyFont="1" applyFill="1" applyAlignment="1">
      <alignment horizontal="left"/>
    </xf>
    <xf numFmtId="173" fontId="0" fillId="0" borderId="0" xfId="0" applyNumberFormat="1" applyFill="1" applyAlignment="1"/>
    <xf numFmtId="0" fontId="13" fillId="0" borderId="0" xfId="0" applyFont="1" applyFill="1" applyBorder="1" applyAlignment="1" applyProtection="1">
      <alignment horizontal="center"/>
    </xf>
    <xf numFmtId="0" fontId="15" fillId="0" borderId="48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5" fillId="0" borderId="5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top"/>
    </xf>
    <xf numFmtId="0" fontId="0" fillId="12" borderId="54" xfId="0" applyFill="1" applyBorder="1" applyAlignment="1" applyProtection="1">
      <alignment horizontal="center"/>
    </xf>
    <xf numFmtId="0" fontId="31" fillId="0" borderId="63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right"/>
    </xf>
    <xf numFmtId="0" fontId="15" fillId="0" borderId="90" xfId="0" applyFont="1" applyBorder="1" applyAlignment="1" applyProtection="1">
      <alignment horizontal="right"/>
    </xf>
    <xf numFmtId="0" fontId="15" fillId="0" borderId="87" xfId="0" applyFont="1" applyBorder="1" applyAlignment="1" applyProtection="1">
      <alignment horizontal="right"/>
    </xf>
    <xf numFmtId="0" fontId="15" fillId="0" borderId="88" xfId="0" applyFont="1" applyBorder="1" applyAlignment="1" applyProtection="1">
      <alignment horizontal="right"/>
    </xf>
    <xf numFmtId="0" fontId="15" fillId="0" borderId="84" xfId="0" applyFont="1" applyBorder="1" applyAlignment="1" applyProtection="1">
      <alignment horizontal="left" wrapText="1"/>
    </xf>
    <xf numFmtId="0" fontId="15" fillId="0" borderId="85" xfId="0" applyFont="1" applyBorder="1" applyAlignment="1" applyProtection="1">
      <alignment horizontal="left" wrapText="1"/>
    </xf>
    <xf numFmtId="0" fontId="15" fillId="0" borderId="84" xfId="0" applyFont="1" applyFill="1" applyBorder="1" applyAlignment="1" applyProtection="1">
      <alignment horizontal="left" wrapText="1"/>
    </xf>
    <xf numFmtId="0" fontId="15" fillId="0" borderId="85" xfId="0" applyFont="1" applyFill="1" applyBorder="1" applyAlignment="1" applyProtection="1">
      <alignment horizontal="left" wrapText="1"/>
    </xf>
    <xf numFmtId="0" fontId="15" fillId="0" borderId="81" xfId="0" applyFont="1" applyBorder="1" applyAlignment="1" applyProtection="1">
      <alignment horizontal="center"/>
    </xf>
    <xf numFmtId="0" fontId="15" fillId="0" borderId="54" xfId="0" applyFont="1" applyBorder="1" applyAlignment="1" applyProtection="1">
      <alignment horizontal="center"/>
    </xf>
    <xf numFmtId="0" fontId="15" fillId="0" borderId="97" xfId="0" applyFont="1" applyBorder="1" applyAlignment="1" applyProtection="1">
      <alignment horizontal="center"/>
    </xf>
  </cellXfs>
  <cellStyles count="3">
    <cellStyle name="Standard" xfId="0" builtinId="0"/>
    <cellStyle name="Standard_B&amp;W Bilanz 92-97" xfId="1"/>
    <cellStyle name="Standard_B&amp;W Journal 199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dialogsheet" Target="dialogsheets/sheet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dialogsheet" Target="dialogsheets/sheet3.xml"/><Relationship Id="rId28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dialogsheet" Target="dialogsheets/sheet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6.3545219683253718E-2"/>
          <c:y val="2.2955539754318001E-2"/>
          <c:w val="0.91973344278393554"/>
          <c:h val="0.9096132627648507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Statistik!$B$50:$B$62</c:f>
              <c:strCache>
                <c:ptCount val="13"/>
                <c:pt idx="0">
                  <c:v>1.Jan. </c:v>
                </c:pt>
                <c:pt idx="1">
                  <c:v>Jan. </c:v>
                </c:pt>
                <c:pt idx="2">
                  <c:v>Feb. </c:v>
                </c:pt>
                <c:pt idx="3">
                  <c:v>März </c:v>
                </c:pt>
                <c:pt idx="4">
                  <c:v>April </c:v>
                </c:pt>
                <c:pt idx="5">
                  <c:v>Mai </c:v>
                </c:pt>
                <c:pt idx="6">
                  <c:v>Juni </c:v>
                </c:pt>
                <c:pt idx="7">
                  <c:v>Juli </c:v>
                </c:pt>
                <c:pt idx="8">
                  <c:v>Aug. </c:v>
                </c:pt>
                <c:pt idx="9">
                  <c:v>Sept. </c:v>
                </c:pt>
                <c:pt idx="10">
                  <c:v>Okt. </c:v>
                </c:pt>
                <c:pt idx="11">
                  <c:v>Nov. </c:v>
                </c:pt>
                <c:pt idx="12">
                  <c:v>Dez. </c:v>
                </c:pt>
              </c:strCache>
            </c:strRef>
          </c:cat>
          <c:val>
            <c:numRef>
              <c:f>Statistik!$C$50:$C$62</c:f>
              <c:numCache>
                <c:formatCode>#,##0.00;[Red]\-\ #,##0.00;0.00</c:formatCode>
                <c:ptCount val="13"/>
                <c:pt idx="0">
                  <c:v>2000</c:v>
                </c:pt>
                <c:pt idx="1">
                  <c:v>1490.75</c:v>
                </c:pt>
              </c:numCache>
            </c:numRef>
          </c:val>
        </c:ser>
        <c:marker val="1"/>
        <c:axId val="99190272"/>
        <c:axId val="99192192"/>
      </c:lineChart>
      <c:catAx>
        <c:axId val="99190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192192"/>
        <c:crosses val="autoZero"/>
        <c:lblAlgn val="ctr"/>
        <c:lblOffset val="100"/>
        <c:tickLblSkip val="1"/>
        <c:tickMarkSkip val="1"/>
      </c:catAx>
      <c:valAx>
        <c:axId val="9919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;[Red]\-\ #,##0.00;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19027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</c:chartSpace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dialog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dialog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baseColWidth="10" defaultColWidth="1" defaultRowHeight="5.25" customHeight="1"/>
  <sheetProtection sheet="1" objects="1" scenarios="1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legacyDrawing r:id="rId1"/>
</dialogsheet>
</file>

<file path=xl/dialogsheets/sheet2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baseColWidth="10" defaultColWidth="1" defaultRowHeight="5.25" customHeight="1"/>
  <sheetProtection sheet="1" objects="1" scenarios="1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legacyDrawing r:id="rId1"/>
</dialogsheet>
</file>

<file path=xl/dialogsheets/sheet3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baseColWidth="10" defaultColWidth="1" defaultRowHeight="5.25" customHeight="1"/>
  <sheetProtection sheet="1" objects="1" scenarios="1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legacyDrawing r:id="rId1"/>
</dialog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C780"/>
  <sheetViews>
    <sheetView showGridLines="0" tabSelected="1" workbookViewId="0"/>
  </sheetViews>
  <sheetFormatPr baseColWidth="10" defaultRowHeight="12.95" customHeight="1"/>
  <cols>
    <col min="1" max="1" width="5.7109375" style="36" customWidth="1"/>
    <col min="2" max="2" width="2.28515625" style="38" customWidth="1"/>
    <col min="3" max="3" width="28.7109375" style="36" customWidth="1"/>
    <col min="4" max="4" width="11.7109375" style="36" customWidth="1"/>
    <col min="5" max="5" width="2.7109375" style="36" customWidth="1"/>
    <col min="6" max="6" width="5.7109375" style="36" customWidth="1"/>
    <col min="7" max="7" width="2.28515625" style="38" customWidth="1"/>
    <col min="8" max="8" width="28.7109375" style="36" customWidth="1"/>
    <col min="9" max="9" width="11.7109375" style="36" customWidth="1"/>
    <col min="10" max="11" width="4.7109375" style="36" customWidth="1"/>
    <col min="12" max="12" width="25.7109375" style="36" customWidth="1"/>
    <col min="13" max="13" width="10.7109375" style="36" customWidth="1"/>
    <col min="14" max="14" width="25.7109375" style="36" customWidth="1"/>
    <col min="15" max="16" width="4.7109375" style="36" customWidth="1"/>
    <col min="17" max="17" width="25.7109375" style="36" hidden="1" customWidth="1"/>
    <col min="18" max="18" width="10.7109375" style="36" hidden="1" customWidth="1"/>
    <col min="19" max="19" width="25.7109375" style="36" hidden="1" customWidth="1"/>
    <col min="21" max="16384" width="11.42578125" style="36"/>
  </cols>
  <sheetData>
    <row r="1" spans="1:29" ht="15.95" customHeight="1">
      <c r="A1" s="33" t="s">
        <v>112</v>
      </c>
      <c r="B1" s="33"/>
      <c r="C1" s="34"/>
      <c r="D1" s="34"/>
      <c r="E1" s="34"/>
      <c r="F1" s="34"/>
      <c r="G1" s="34"/>
      <c r="H1" s="34"/>
      <c r="I1" s="35" t="str">
        <f>CONCATENATE("Januar ",$A$2)</f>
        <v xml:space="preserve">Januar </v>
      </c>
      <c r="L1" s="33" t="str">
        <f>CONCATENATE("Kategoriengruppen Januar ",$A$2)</f>
        <v xml:space="preserve">Kategoriengruppen Januar </v>
      </c>
      <c r="Q1" s="33" t="str">
        <f>CONCATENATE("Kategoriengruppen Januar ",$A$2)</f>
        <v xml:space="preserve">Kategoriengruppen Januar </v>
      </c>
      <c r="Y1" s="152">
        <v>1</v>
      </c>
      <c r="Z1" s="152" t="s">
        <v>17</v>
      </c>
      <c r="AA1" s="152" t="b">
        <v>0</v>
      </c>
      <c r="AB1" s="152" t="b">
        <v>1</v>
      </c>
      <c r="AC1" s="152" t="b">
        <v>0</v>
      </c>
    </row>
    <row r="2" spans="1:29" ht="13.5" customHeight="1">
      <c r="A2" s="37"/>
      <c r="B2" s="37">
        <v>2</v>
      </c>
      <c r="C2" s="37">
        <v>1</v>
      </c>
      <c r="D2" s="38"/>
      <c r="E2" s="38"/>
      <c r="F2" s="38"/>
      <c r="H2" s="38"/>
      <c r="I2" s="38"/>
      <c r="Y2" s="152"/>
      <c r="Z2" s="152" t="s">
        <v>18</v>
      </c>
      <c r="AA2" s="152" t="b">
        <v>0</v>
      </c>
      <c r="AB2" s="152" t="b">
        <v>1</v>
      </c>
      <c r="AC2" s="152" t="b">
        <v>0</v>
      </c>
    </row>
    <row r="3" spans="1:29" ht="13.5" customHeight="1">
      <c r="A3" s="38"/>
      <c r="C3" s="38"/>
      <c r="D3" s="38"/>
      <c r="E3" s="38"/>
      <c r="F3" s="38"/>
      <c r="H3" s="38"/>
      <c r="I3" s="38"/>
      <c r="Y3" s="152"/>
      <c r="Z3" s="152" t="s">
        <v>19</v>
      </c>
      <c r="AA3" s="152" t="b">
        <v>0</v>
      </c>
      <c r="AB3" s="152" t="b">
        <v>1</v>
      </c>
      <c r="AC3" s="152" t="b">
        <v>0</v>
      </c>
    </row>
    <row r="4" spans="1:29" ht="13.5" customHeight="1">
      <c r="A4" s="39" t="s">
        <v>20</v>
      </c>
      <c r="B4" s="39"/>
      <c r="C4" s="39"/>
      <c r="D4" s="39"/>
      <c r="E4" s="38"/>
      <c r="F4" s="39" t="s">
        <v>21</v>
      </c>
      <c r="G4" s="39"/>
      <c r="H4" s="39"/>
      <c r="I4" s="39"/>
      <c r="L4" s="39" t="s">
        <v>84</v>
      </c>
      <c r="M4" s="103" t="s">
        <v>106</v>
      </c>
      <c r="N4" s="39" t="s">
        <v>85</v>
      </c>
      <c r="Q4" s="39" t="s">
        <v>84</v>
      </c>
      <c r="R4" s="103" t="s">
        <v>106</v>
      </c>
      <c r="S4" s="39" t="s">
        <v>85</v>
      </c>
      <c r="Y4" s="152"/>
      <c r="Z4" s="152" t="s">
        <v>22</v>
      </c>
      <c r="AA4" s="152" t="b">
        <v>0</v>
      </c>
      <c r="AB4" s="152" t="b">
        <v>1</v>
      </c>
      <c r="AC4" s="152" t="b">
        <v>0</v>
      </c>
    </row>
    <row r="5" spans="1:29" ht="13.5" customHeight="1" thickBot="1">
      <c r="A5" s="38"/>
      <c r="C5" s="38"/>
      <c r="D5" s="38"/>
      <c r="E5" s="38"/>
      <c r="F5" s="38"/>
      <c r="H5" s="38"/>
      <c r="I5" s="38"/>
      <c r="Y5" s="152"/>
      <c r="Z5" s="152" t="s">
        <v>23</v>
      </c>
      <c r="AA5" s="152" t="b">
        <v>0</v>
      </c>
      <c r="AB5" s="152" t="b">
        <v>1</v>
      </c>
      <c r="AC5" s="152" t="b">
        <v>0</v>
      </c>
    </row>
    <row r="6" spans="1:29" ht="13.5" customHeight="1" thickTop="1" thickBot="1">
      <c r="A6" s="40" t="s">
        <v>24</v>
      </c>
      <c r="B6" s="90" t="s">
        <v>82</v>
      </c>
      <c r="C6" s="41" t="s">
        <v>25</v>
      </c>
      <c r="D6" s="42" t="s">
        <v>26</v>
      </c>
      <c r="E6" s="38"/>
      <c r="F6" s="40" t="s">
        <v>24</v>
      </c>
      <c r="G6" s="90" t="s">
        <v>82</v>
      </c>
      <c r="H6" s="41" t="s">
        <v>25</v>
      </c>
      <c r="I6" s="43" t="str">
        <f>$D$6</f>
        <v>CHF</v>
      </c>
      <c r="Y6" s="152"/>
      <c r="Z6" s="152" t="s">
        <v>27</v>
      </c>
      <c r="AA6" s="152" t="b">
        <v>1</v>
      </c>
      <c r="AB6" s="152" t="b">
        <v>1</v>
      </c>
      <c r="AC6" s="152" t="b">
        <v>0</v>
      </c>
    </row>
    <row r="7" spans="1:29" ht="13.5" customHeight="1" thickTop="1">
      <c r="A7" s="44">
        <v>100</v>
      </c>
      <c r="B7" s="218" t="s">
        <v>117</v>
      </c>
      <c r="C7" s="45" t="s">
        <v>264</v>
      </c>
      <c r="D7" s="46">
        <f ca="1">IF(C7="","",SUMIF(INDIRECT("Jan.!$D$15:$D$16000"),A7,INDIRECT("Jan.!$E$15:$E$16000")))</f>
        <v>0</v>
      </c>
      <c r="E7" s="47"/>
      <c r="F7" s="44">
        <v>200</v>
      </c>
      <c r="G7" s="218" t="s">
        <v>117</v>
      </c>
      <c r="H7" s="45" t="s">
        <v>169</v>
      </c>
      <c r="I7" s="46">
        <f ca="1">IF(H7="","",SUMIF(INDIRECT("Jan.!$F$15:$F$16000"),F7,INDIRECT("Jan.!$G$15:$G$16000")))</f>
        <v>0</v>
      </c>
      <c r="L7" s="95" t="s">
        <v>83</v>
      </c>
      <c r="N7" s="95" t="s">
        <v>104</v>
      </c>
      <c r="Q7" s="95" t="s">
        <v>83</v>
      </c>
      <c r="S7" s="95" t="s">
        <v>104</v>
      </c>
      <c r="Y7" s="152"/>
      <c r="Z7" s="152" t="s">
        <v>28</v>
      </c>
      <c r="AA7" s="152" t="b">
        <v>0</v>
      </c>
      <c r="AB7" s="152" t="b">
        <v>1</v>
      </c>
      <c r="AC7" s="152" t="b">
        <v>0</v>
      </c>
    </row>
    <row r="8" spans="1:29" ht="13.5" customHeight="1">
      <c r="A8" s="48">
        <v>101</v>
      </c>
      <c r="B8" s="218" t="s">
        <v>117</v>
      </c>
      <c r="C8" s="45" t="s">
        <v>265</v>
      </c>
      <c r="D8" s="46">
        <f t="shared" ref="D8:D57" ca="1" si="0">IF(C8="","",SUMIF(INDIRECT("Jan.!$D$15:$D$16000"),A8,INDIRECT("Jan.!$E$15:$E$16000")))</f>
        <v>0</v>
      </c>
      <c r="E8" s="47"/>
      <c r="F8" s="48">
        <v>201</v>
      </c>
      <c r="G8" s="218" t="s">
        <v>117</v>
      </c>
      <c r="H8" s="45" t="s">
        <v>266</v>
      </c>
      <c r="I8" s="46">
        <f t="shared" ref="I8:I57" ca="1" si="1">IF(H8="","",SUMIF(INDIRECT("Jan.!$F$15:$F$16000"),F8,INDIRECT("Jan.!$G$15:$G$16000")))</f>
        <v>0</v>
      </c>
      <c r="L8" s="111" t="s">
        <v>166</v>
      </c>
      <c r="N8" s="111" t="s">
        <v>166</v>
      </c>
      <c r="Q8" s="111"/>
      <c r="S8" s="111"/>
      <c r="Y8" s="152"/>
      <c r="Z8" s="152" t="s">
        <v>29</v>
      </c>
      <c r="AA8" s="152" t="b">
        <v>0</v>
      </c>
      <c r="AB8" s="152" t="b">
        <v>1</v>
      </c>
      <c r="AC8" s="152" t="b">
        <v>0</v>
      </c>
    </row>
    <row r="9" spans="1:29" ht="13.5" customHeight="1" thickBot="1">
      <c r="A9" s="48">
        <v>102</v>
      </c>
      <c r="B9" s="107"/>
      <c r="C9" s="45"/>
      <c r="D9" s="46" t="str">
        <f t="shared" ca="1" si="0"/>
        <v/>
      </c>
      <c r="E9" s="47"/>
      <c r="F9" s="48">
        <v>202</v>
      </c>
      <c r="G9" s="218" t="s">
        <v>117</v>
      </c>
      <c r="H9" s="45" t="s">
        <v>267</v>
      </c>
      <c r="I9" s="46">
        <f t="shared" ca="1" si="1"/>
        <v>0</v>
      </c>
      <c r="L9" s="105">
        <f ca="1">SUMIF($B$7:$B$57,"A",$D$7:$D$57)</f>
        <v>0</v>
      </c>
      <c r="M9" s="104">
        <f ca="1">L9+N9</f>
        <v>0</v>
      </c>
      <c r="N9" s="106">
        <f ca="1">SUMIF($G$7:$G$57,"A",$I$7:$I$57)</f>
        <v>0</v>
      </c>
      <c r="Q9" s="105">
        <f ca="1">SUMIF($B$7:$B$57,"A",$D$7:$D$57)</f>
        <v>0</v>
      </c>
      <c r="R9" s="104">
        <f ca="1">Q9+S9</f>
        <v>0</v>
      </c>
      <c r="S9" s="106">
        <f ca="1">SUMIF($G$7:$G$57,"A",$I$7:$I$57)</f>
        <v>0</v>
      </c>
      <c r="Y9" s="152"/>
      <c r="Z9" s="152" t="s">
        <v>30</v>
      </c>
      <c r="AA9" s="152" t="b">
        <v>0</v>
      </c>
      <c r="AB9" s="152" t="b">
        <v>1</v>
      </c>
      <c r="AC9" s="152" t="b">
        <v>0</v>
      </c>
    </row>
    <row r="10" spans="1:29" ht="13.5" customHeight="1">
      <c r="A10" s="48">
        <v>103</v>
      </c>
      <c r="B10" s="107"/>
      <c r="C10" s="45"/>
      <c r="D10" s="46" t="str">
        <f t="shared" ca="1" si="0"/>
        <v/>
      </c>
      <c r="E10" s="47"/>
      <c r="F10" s="48">
        <v>203</v>
      </c>
      <c r="G10" s="218" t="s">
        <v>117</v>
      </c>
      <c r="H10" s="45" t="s">
        <v>268</v>
      </c>
      <c r="I10" s="46">
        <f t="shared" ca="1" si="1"/>
        <v>0</v>
      </c>
      <c r="Y10" s="152"/>
      <c r="Z10" s="152" t="s">
        <v>31</v>
      </c>
      <c r="AA10" s="152" t="b">
        <v>0</v>
      </c>
      <c r="AB10" s="152" t="b">
        <v>1</v>
      </c>
      <c r="AC10" s="152" t="b">
        <v>0</v>
      </c>
    </row>
    <row r="11" spans="1:29" ht="13.5" customHeight="1" thickBot="1">
      <c r="A11" s="48">
        <v>104</v>
      </c>
      <c r="B11" s="107"/>
      <c r="C11" s="45"/>
      <c r="D11" s="46" t="str">
        <f t="shared" ca="1" si="0"/>
        <v/>
      </c>
      <c r="E11" s="47"/>
      <c r="F11" s="48">
        <v>204</v>
      </c>
      <c r="G11" s="107"/>
      <c r="H11" s="45"/>
      <c r="I11" s="46" t="str">
        <f t="shared" ca="1" si="1"/>
        <v/>
      </c>
      <c r="Y11" s="152"/>
      <c r="Z11" s="152" t="s">
        <v>32</v>
      </c>
      <c r="AA11" s="152" t="b">
        <v>0</v>
      </c>
      <c r="AB11" s="152" t="b">
        <v>1</v>
      </c>
      <c r="AC11" s="152" t="b">
        <v>0</v>
      </c>
    </row>
    <row r="12" spans="1:29" ht="13.5" customHeight="1">
      <c r="A12" s="48">
        <v>105</v>
      </c>
      <c r="B12" s="107"/>
      <c r="C12" s="45"/>
      <c r="D12" s="46" t="str">
        <f t="shared" ca="1" si="0"/>
        <v/>
      </c>
      <c r="E12" s="47"/>
      <c r="F12" s="48">
        <v>205</v>
      </c>
      <c r="G12" s="107"/>
      <c r="H12" s="45"/>
      <c r="I12" s="46" t="str">
        <f t="shared" ca="1" si="1"/>
        <v/>
      </c>
      <c r="L12" s="96" t="s">
        <v>86</v>
      </c>
      <c r="N12" s="96" t="s">
        <v>95</v>
      </c>
      <c r="Q12" s="96" t="s">
        <v>86</v>
      </c>
      <c r="S12" s="96" t="s">
        <v>95</v>
      </c>
      <c r="Y12" s="152"/>
      <c r="Z12" s="152" t="s">
        <v>33</v>
      </c>
      <c r="AA12" s="152" t="b">
        <v>0</v>
      </c>
      <c r="AB12" s="152" t="b">
        <v>1</v>
      </c>
      <c r="AC12" s="152" t="b">
        <v>0</v>
      </c>
    </row>
    <row r="13" spans="1:29" ht="13.5" customHeight="1">
      <c r="A13" s="48">
        <v>106</v>
      </c>
      <c r="B13" s="107"/>
      <c r="C13" s="45"/>
      <c r="D13" s="46" t="str">
        <f t="shared" ca="1" si="0"/>
        <v/>
      </c>
      <c r="E13" s="47"/>
      <c r="F13" s="48">
        <v>206</v>
      </c>
      <c r="G13" s="107"/>
      <c r="H13" s="45"/>
      <c r="I13" s="46" t="str">
        <f t="shared" ca="1" si="1"/>
        <v/>
      </c>
      <c r="L13" s="111" t="s">
        <v>167</v>
      </c>
      <c r="N13" s="111" t="s">
        <v>167</v>
      </c>
      <c r="Q13" s="111"/>
      <c r="S13" s="111"/>
      <c r="Y13" s="152"/>
      <c r="Z13" s="152" t="s">
        <v>34</v>
      </c>
      <c r="AA13" s="152" t="b">
        <v>0</v>
      </c>
      <c r="AB13" s="152" t="b">
        <v>1</v>
      </c>
      <c r="AC13" s="152" t="b">
        <v>0</v>
      </c>
    </row>
    <row r="14" spans="1:29" ht="13.5" customHeight="1" thickBot="1">
      <c r="A14" s="48">
        <v>107</v>
      </c>
      <c r="B14" s="107"/>
      <c r="C14" s="45"/>
      <c r="D14" s="46" t="str">
        <f t="shared" ca="1" si="0"/>
        <v/>
      </c>
      <c r="E14" s="47"/>
      <c r="F14" s="48">
        <v>207</v>
      </c>
      <c r="G14" s="107"/>
      <c r="H14" s="45"/>
      <c r="I14" s="46" t="str">
        <f t="shared" ca="1" si="1"/>
        <v/>
      </c>
      <c r="L14" s="105">
        <f ca="1">SUMIF($B$7:$B$57,"B",$D$7:$D$57)</f>
        <v>1900.75</v>
      </c>
      <c r="M14" s="104">
        <f ca="1">L14+N14</f>
        <v>-509.25</v>
      </c>
      <c r="N14" s="106">
        <f ca="1">SUMIF($G$7:$G$57,"B",$I$7:$I$57)</f>
        <v>-2410</v>
      </c>
      <c r="Q14" s="105">
        <f ca="1">SUMIF($B$7:$B$57,"B",$D$7:$D$57)</f>
        <v>1900.75</v>
      </c>
      <c r="R14" s="104">
        <f ca="1">Q14+S14</f>
        <v>-509.25</v>
      </c>
      <c r="S14" s="106">
        <f ca="1">SUMIF($G$7:$G$57,"B",$I$7:$I$57)</f>
        <v>-2410</v>
      </c>
    </row>
    <row r="15" spans="1:29" ht="13.5" customHeight="1">
      <c r="A15" s="48">
        <v>108</v>
      </c>
      <c r="B15" s="107"/>
      <c r="C15" s="45"/>
      <c r="D15" s="46" t="str">
        <f t="shared" ca="1" si="0"/>
        <v/>
      </c>
      <c r="E15" s="47"/>
      <c r="F15" s="48">
        <v>208</v>
      </c>
      <c r="G15" s="107"/>
      <c r="H15" s="45"/>
      <c r="I15" s="46" t="str">
        <f t="shared" ca="1" si="1"/>
        <v/>
      </c>
    </row>
    <row r="16" spans="1:29" ht="13.5" customHeight="1" thickBot="1">
      <c r="A16" s="48">
        <v>109</v>
      </c>
      <c r="B16" s="107"/>
      <c r="C16" s="45"/>
      <c r="D16" s="46" t="str">
        <f t="shared" ca="1" si="0"/>
        <v/>
      </c>
      <c r="E16" s="47"/>
      <c r="F16" s="48">
        <v>209</v>
      </c>
      <c r="G16" s="107"/>
      <c r="H16" s="45"/>
      <c r="I16" s="46" t="str">
        <f t="shared" ca="1" si="1"/>
        <v/>
      </c>
    </row>
    <row r="17" spans="1:19" ht="13.5" customHeight="1">
      <c r="A17" s="48">
        <v>110</v>
      </c>
      <c r="B17" s="107"/>
      <c r="C17" s="45"/>
      <c r="D17" s="46" t="str">
        <f t="shared" ca="1" si="0"/>
        <v/>
      </c>
      <c r="E17" s="47"/>
      <c r="F17" s="48">
        <v>210</v>
      </c>
      <c r="G17" s="107"/>
      <c r="H17" s="45"/>
      <c r="I17" s="46" t="str">
        <f t="shared" ca="1" si="1"/>
        <v/>
      </c>
      <c r="Q17" s="109" t="s">
        <v>87</v>
      </c>
      <c r="S17" s="109" t="s">
        <v>96</v>
      </c>
    </row>
    <row r="18" spans="1:19" ht="13.5" customHeight="1">
      <c r="A18" s="48">
        <v>111</v>
      </c>
      <c r="B18" s="107"/>
      <c r="C18" s="45"/>
      <c r="D18" s="46" t="str">
        <f t="shared" ca="1" si="0"/>
        <v/>
      </c>
      <c r="E18" s="47"/>
      <c r="F18" s="48">
        <v>211</v>
      </c>
      <c r="G18" s="107"/>
      <c r="H18" s="45"/>
      <c r="I18" s="46" t="str">
        <f t="shared" ca="1" si="1"/>
        <v/>
      </c>
      <c r="L18" s="179"/>
      <c r="N18" s="179"/>
      <c r="Q18" s="111"/>
      <c r="S18" s="111"/>
    </row>
    <row r="19" spans="1:19" ht="13.5" customHeight="1" thickBot="1">
      <c r="A19" s="48">
        <v>112</v>
      </c>
      <c r="B19" s="107"/>
      <c r="C19" s="45"/>
      <c r="D19" s="46" t="str">
        <f t="shared" ca="1" si="0"/>
        <v/>
      </c>
      <c r="E19" s="47"/>
      <c r="F19" s="48">
        <v>212</v>
      </c>
      <c r="G19" s="107"/>
      <c r="H19" s="45"/>
      <c r="I19" s="46" t="str">
        <f t="shared" ca="1" si="1"/>
        <v/>
      </c>
      <c r="Q19" s="105">
        <f>SUMIF($B$7:$B$57,"C",$D$7:$D$57)</f>
        <v>0</v>
      </c>
      <c r="R19" s="104">
        <f>Q19+S19</f>
        <v>0</v>
      </c>
      <c r="S19" s="106">
        <f>SUMIF($G$7:$G$57,"C",$I$7:$I$57)</f>
        <v>0</v>
      </c>
    </row>
    <row r="20" spans="1:19" ht="13.5" customHeight="1">
      <c r="A20" s="48">
        <v>113</v>
      </c>
      <c r="B20" s="107"/>
      <c r="C20" s="45"/>
      <c r="D20" s="46" t="str">
        <f t="shared" ca="1" si="0"/>
        <v/>
      </c>
      <c r="E20" s="47"/>
      <c r="F20" s="48">
        <v>213</v>
      </c>
      <c r="G20" s="107"/>
      <c r="H20" s="45"/>
      <c r="I20" s="46" t="str">
        <f t="shared" ca="1" si="1"/>
        <v/>
      </c>
    </row>
    <row r="21" spans="1:19" ht="13.5" customHeight="1" thickBot="1">
      <c r="A21" s="48">
        <v>114</v>
      </c>
      <c r="B21" s="107"/>
      <c r="C21" s="45"/>
      <c r="D21" s="46" t="str">
        <f t="shared" ca="1" si="0"/>
        <v/>
      </c>
      <c r="E21" s="47"/>
      <c r="F21" s="48">
        <v>214</v>
      </c>
      <c r="G21" s="107"/>
      <c r="H21" s="45"/>
      <c r="I21" s="46" t="str">
        <f t="shared" ca="1" si="1"/>
        <v/>
      </c>
    </row>
    <row r="22" spans="1:19" ht="13.5" customHeight="1">
      <c r="A22" s="48">
        <v>115</v>
      </c>
      <c r="B22" s="107"/>
      <c r="C22" s="45"/>
      <c r="D22" s="46" t="str">
        <f t="shared" ca="1" si="0"/>
        <v/>
      </c>
      <c r="E22" s="47"/>
      <c r="F22" s="48">
        <v>215</v>
      </c>
      <c r="G22" s="107"/>
      <c r="H22" s="45"/>
      <c r="I22" s="46" t="str">
        <f t="shared" ca="1" si="1"/>
        <v/>
      </c>
      <c r="Q22" s="97" t="s">
        <v>88</v>
      </c>
      <c r="S22" s="97" t="s">
        <v>97</v>
      </c>
    </row>
    <row r="23" spans="1:19" ht="13.5" customHeight="1">
      <c r="A23" s="48">
        <v>116</v>
      </c>
      <c r="B23" s="107"/>
      <c r="C23" s="45"/>
      <c r="D23" s="46" t="str">
        <f t="shared" ca="1" si="0"/>
        <v/>
      </c>
      <c r="E23" s="47"/>
      <c r="F23" s="48">
        <v>216</v>
      </c>
      <c r="G23" s="107"/>
      <c r="H23" s="45"/>
      <c r="I23" s="46" t="str">
        <f t="shared" ca="1" si="1"/>
        <v/>
      </c>
      <c r="L23" s="179"/>
      <c r="N23" s="179"/>
      <c r="Q23" s="111"/>
      <c r="S23" s="111"/>
    </row>
    <row r="24" spans="1:19" ht="13.5" customHeight="1" thickBot="1">
      <c r="A24" s="48">
        <v>117</v>
      </c>
      <c r="B24" s="107"/>
      <c r="C24" s="45"/>
      <c r="D24" s="46" t="str">
        <f t="shared" ca="1" si="0"/>
        <v/>
      </c>
      <c r="E24" s="47"/>
      <c r="F24" s="48">
        <v>217</v>
      </c>
      <c r="G24" s="107"/>
      <c r="H24" s="45"/>
      <c r="I24" s="46" t="str">
        <f t="shared" ca="1" si="1"/>
        <v/>
      </c>
      <c r="Q24" s="105">
        <f>SUMIF($B$7:$B$57,"D",$D$7:$D$57)</f>
        <v>0</v>
      </c>
      <c r="R24" s="104">
        <f>Q24+S24</f>
        <v>0</v>
      </c>
      <c r="S24" s="106">
        <f>SUMIF($G$7:$G$57,"D",$I$7:$I$57)</f>
        <v>0</v>
      </c>
    </row>
    <row r="25" spans="1:19" ht="13.5" customHeight="1">
      <c r="A25" s="48">
        <v>118</v>
      </c>
      <c r="B25" s="107"/>
      <c r="C25" s="45"/>
      <c r="D25" s="46" t="str">
        <f t="shared" ca="1" si="0"/>
        <v/>
      </c>
      <c r="E25" s="47"/>
      <c r="F25" s="48">
        <v>218</v>
      </c>
      <c r="G25" s="107"/>
      <c r="H25" s="45"/>
      <c r="I25" s="46" t="str">
        <f t="shared" ca="1" si="1"/>
        <v/>
      </c>
    </row>
    <row r="26" spans="1:19" ht="13.5" customHeight="1" thickBot="1">
      <c r="A26" s="48">
        <v>119</v>
      </c>
      <c r="B26" s="107"/>
      <c r="C26" s="45"/>
      <c r="D26" s="46" t="str">
        <f t="shared" ca="1" si="0"/>
        <v/>
      </c>
      <c r="E26" s="47"/>
      <c r="F26" s="48">
        <v>219</v>
      </c>
      <c r="G26" s="107"/>
      <c r="H26" s="45"/>
      <c r="I26" s="46" t="str">
        <f t="shared" ca="1" si="1"/>
        <v/>
      </c>
    </row>
    <row r="27" spans="1:19" ht="13.5" customHeight="1">
      <c r="A27" s="48">
        <v>120</v>
      </c>
      <c r="B27" s="107"/>
      <c r="C27" s="45"/>
      <c r="D27" s="46" t="str">
        <f t="shared" ca="1" si="0"/>
        <v/>
      </c>
      <c r="E27" s="47"/>
      <c r="F27" s="48">
        <v>220</v>
      </c>
      <c r="G27" s="107"/>
      <c r="H27" s="45"/>
      <c r="I27" s="46" t="str">
        <f t="shared" ca="1" si="1"/>
        <v/>
      </c>
      <c r="Q27" s="110" t="s">
        <v>89</v>
      </c>
      <c r="S27" s="110" t="s">
        <v>98</v>
      </c>
    </row>
    <row r="28" spans="1:19" ht="13.5" customHeight="1">
      <c r="A28" s="48">
        <v>121</v>
      </c>
      <c r="B28" s="107"/>
      <c r="C28" s="45"/>
      <c r="D28" s="46" t="str">
        <f t="shared" ca="1" si="0"/>
        <v/>
      </c>
      <c r="E28" s="47"/>
      <c r="F28" s="48">
        <v>221</v>
      </c>
      <c r="G28" s="107"/>
      <c r="H28" s="45"/>
      <c r="I28" s="46" t="str">
        <f t="shared" ca="1" si="1"/>
        <v/>
      </c>
      <c r="L28" s="179"/>
      <c r="N28" s="179"/>
      <c r="Q28" s="111"/>
      <c r="S28" s="111"/>
    </row>
    <row r="29" spans="1:19" ht="13.5" customHeight="1" thickBot="1">
      <c r="A29" s="48">
        <v>122</v>
      </c>
      <c r="B29" s="107"/>
      <c r="C29" s="45"/>
      <c r="D29" s="46" t="str">
        <f t="shared" ca="1" si="0"/>
        <v/>
      </c>
      <c r="E29" s="47"/>
      <c r="F29" s="48">
        <v>222</v>
      </c>
      <c r="G29" s="107"/>
      <c r="H29" s="45"/>
      <c r="I29" s="46" t="str">
        <f t="shared" ca="1" si="1"/>
        <v/>
      </c>
      <c r="Q29" s="105">
        <f>SUMIF($B$7:$B$57,"E",$D$7:$D$57)</f>
        <v>0</v>
      </c>
      <c r="R29" s="104">
        <f>Q29+S29</f>
        <v>0</v>
      </c>
      <c r="S29" s="106">
        <f>SUMIF($G$7:$G$57,"E",$I$7:$I$57)</f>
        <v>0</v>
      </c>
    </row>
    <row r="30" spans="1:19" ht="13.5" customHeight="1">
      <c r="A30" s="48">
        <v>123</v>
      </c>
      <c r="B30" s="107"/>
      <c r="C30" s="45"/>
      <c r="D30" s="46" t="str">
        <f t="shared" ca="1" si="0"/>
        <v/>
      </c>
      <c r="E30" s="47"/>
      <c r="F30" s="48">
        <v>223</v>
      </c>
      <c r="G30" s="107"/>
      <c r="H30" s="45"/>
      <c r="I30" s="46" t="str">
        <f t="shared" ca="1" si="1"/>
        <v/>
      </c>
    </row>
    <row r="31" spans="1:19" ht="13.5" customHeight="1" thickBot="1">
      <c r="A31" s="48">
        <v>124</v>
      </c>
      <c r="B31" s="107"/>
      <c r="C31" s="45"/>
      <c r="D31" s="46" t="str">
        <f t="shared" ca="1" si="0"/>
        <v/>
      </c>
      <c r="E31" s="47"/>
      <c r="F31" s="48">
        <v>224</v>
      </c>
      <c r="G31" s="107"/>
      <c r="H31" s="45"/>
      <c r="I31" s="46" t="str">
        <f t="shared" ca="1" si="1"/>
        <v/>
      </c>
    </row>
    <row r="32" spans="1:19" ht="13.5" customHeight="1">
      <c r="A32" s="48">
        <v>125</v>
      </c>
      <c r="B32" s="219" t="s">
        <v>118</v>
      </c>
      <c r="C32" s="45" t="s">
        <v>269</v>
      </c>
      <c r="D32" s="46">
        <f t="shared" ca="1" si="0"/>
        <v>1780</v>
      </c>
      <c r="E32" s="47"/>
      <c r="F32" s="48">
        <v>225</v>
      </c>
      <c r="G32" s="219" t="s">
        <v>118</v>
      </c>
      <c r="H32" s="45" t="s">
        <v>71</v>
      </c>
      <c r="I32" s="46">
        <f t="shared" ca="1" si="1"/>
        <v>0</v>
      </c>
      <c r="Q32" s="98" t="s">
        <v>90</v>
      </c>
      <c r="S32" s="98" t="s">
        <v>99</v>
      </c>
    </row>
    <row r="33" spans="1:19" ht="13.5" customHeight="1">
      <c r="A33" s="48">
        <v>126</v>
      </c>
      <c r="B33" s="107"/>
      <c r="C33" s="45"/>
      <c r="D33" s="46" t="str">
        <f t="shared" ca="1" si="0"/>
        <v/>
      </c>
      <c r="E33" s="47"/>
      <c r="F33" s="48">
        <v>226</v>
      </c>
      <c r="G33" s="219" t="s">
        <v>118</v>
      </c>
      <c r="H33" s="45" t="s">
        <v>65</v>
      </c>
      <c r="I33" s="46">
        <f t="shared" ca="1" si="1"/>
        <v>0</v>
      </c>
      <c r="L33" s="179"/>
      <c r="N33" s="179"/>
      <c r="Q33" s="111"/>
      <c r="S33" s="111"/>
    </row>
    <row r="34" spans="1:19" ht="13.5" customHeight="1" thickBot="1">
      <c r="A34" s="48">
        <v>127</v>
      </c>
      <c r="B34" s="107"/>
      <c r="C34" s="45"/>
      <c r="D34" s="46" t="str">
        <f t="shared" ca="1" si="0"/>
        <v/>
      </c>
      <c r="E34" s="47"/>
      <c r="F34" s="48">
        <v>227</v>
      </c>
      <c r="G34" s="219" t="s">
        <v>118</v>
      </c>
      <c r="H34" s="45" t="s">
        <v>68</v>
      </c>
      <c r="I34" s="46">
        <f t="shared" ca="1" si="1"/>
        <v>0</v>
      </c>
      <c r="Q34" s="105">
        <f>SUMIF($B$7:$B$57,"F",$D$7:$D$57)</f>
        <v>0</v>
      </c>
      <c r="R34" s="104">
        <f>Q34+S34</f>
        <v>0</v>
      </c>
      <c r="S34" s="106">
        <f>SUMIF($G$7:$G$57,"F",$I$7:$I$57)</f>
        <v>0</v>
      </c>
    </row>
    <row r="35" spans="1:19" ht="13.5" customHeight="1">
      <c r="A35" s="48">
        <v>128</v>
      </c>
      <c r="B35" s="107"/>
      <c r="C35" s="45"/>
      <c r="D35" s="46" t="str">
        <f t="shared" ca="1" si="0"/>
        <v/>
      </c>
      <c r="E35" s="47"/>
      <c r="F35" s="48">
        <v>228</v>
      </c>
      <c r="G35" s="219" t="s">
        <v>118</v>
      </c>
      <c r="H35" s="45" t="s">
        <v>67</v>
      </c>
      <c r="I35" s="46">
        <f t="shared" ca="1" si="1"/>
        <v>0</v>
      </c>
    </row>
    <row r="36" spans="1:19" ht="13.5" customHeight="1" thickBot="1">
      <c r="A36" s="48">
        <v>129</v>
      </c>
      <c r="B36" s="107"/>
      <c r="C36" s="45"/>
      <c r="D36" s="46" t="str">
        <f t="shared" ca="1" si="0"/>
        <v/>
      </c>
      <c r="E36" s="47"/>
      <c r="F36" s="48">
        <v>229</v>
      </c>
      <c r="G36" s="219" t="s">
        <v>118</v>
      </c>
      <c r="H36" s="45" t="s">
        <v>164</v>
      </c>
      <c r="I36" s="46">
        <f t="shared" ca="1" si="1"/>
        <v>0</v>
      </c>
    </row>
    <row r="37" spans="1:19" ht="13.5" customHeight="1">
      <c r="A37" s="48">
        <v>130</v>
      </c>
      <c r="B37" s="107"/>
      <c r="C37" s="45"/>
      <c r="D37" s="46" t="str">
        <f t="shared" ca="1" si="0"/>
        <v/>
      </c>
      <c r="E37" s="47"/>
      <c r="F37" s="48">
        <v>230</v>
      </c>
      <c r="G37" s="219" t="s">
        <v>118</v>
      </c>
      <c r="H37" s="45" t="s">
        <v>66</v>
      </c>
      <c r="I37" s="46">
        <f t="shared" ca="1" si="1"/>
        <v>-910</v>
      </c>
      <c r="Q37" s="99" t="s">
        <v>91</v>
      </c>
      <c r="S37" s="99" t="s">
        <v>100</v>
      </c>
    </row>
    <row r="38" spans="1:19" ht="13.5" customHeight="1">
      <c r="A38" s="48">
        <v>131</v>
      </c>
      <c r="B38" s="107"/>
      <c r="C38" s="45"/>
      <c r="D38" s="46" t="str">
        <f t="shared" ca="1" si="0"/>
        <v/>
      </c>
      <c r="E38" s="47"/>
      <c r="F38" s="48">
        <v>231</v>
      </c>
      <c r="G38" s="219" t="s">
        <v>118</v>
      </c>
      <c r="H38" s="45" t="s">
        <v>74</v>
      </c>
      <c r="I38" s="46">
        <f t="shared" ca="1" si="1"/>
        <v>0</v>
      </c>
      <c r="L38" s="179"/>
      <c r="N38" s="179"/>
      <c r="Q38" s="111"/>
      <c r="S38" s="111"/>
    </row>
    <row r="39" spans="1:19" ht="13.5" customHeight="1" thickBot="1">
      <c r="A39" s="48">
        <v>132</v>
      </c>
      <c r="B39" s="219" t="s">
        <v>118</v>
      </c>
      <c r="C39" s="45" t="s">
        <v>78</v>
      </c>
      <c r="D39" s="46">
        <f t="shared" ca="1" si="0"/>
        <v>0</v>
      </c>
      <c r="E39" s="47"/>
      <c r="F39" s="48">
        <v>232</v>
      </c>
      <c r="G39" s="219" t="s">
        <v>118</v>
      </c>
      <c r="H39" s="45" t="s">
        <v>69</v>
      </c>
      <c r="I39" s="46">
        <f t="shared" ca="1" si="1"/>
        <v>0</v>
      </c>
      <c r="Q39" s="105">
        <f>SUMIF($B$7:$B$57,"G",$D$7:$D$57)</f>
        <v>0</v>
      </c>
      <c r="R39" s="104">
        <f>Q39+S39</f>
        <v>0</v>
      </c>
      <c r="S39" s="106">
        <f>SUMIF($G$7:$G$57,"G",$I$7:$I$57)</f>
        <v>0</v>
      </c>
    </row>
    <row r="40" spans="1:19" ht="13.5" customHeight="1">
      <c r="A40" s="48">
        <v>133</v>
      </c>
      <c r="B40" s="107"/>
      <c r="C40" s="45"/>
      <c r="D40" s="46" t="str">
        <f t="shared" ca="1" si="0"/>
        <v/>
      </c>
      <c r="E40" s="47"/>
      <c r="F40" s="48">
        <v>233</v>
      </c>
      <c r="G40" s="219" t="s">
        <v>118</v>
      </c>
      <c r="H40" s="45" t="s">
        <v>247</v>
      </c>
      <c r="I40" s="46">
        <f t="shared" ca="1" si="1"/>
        <v>0</v>
      </c>
    </row>
    <row r="41" spans="1:19" ht="13.5" customHeight="1" thickBot="1">
      <c r="A41" s="48">
        <v>134</v>
      </c>
      <c r="B41" s="107"/>
      <c r="C41" s="45"/>
      <c r="D41" s="46" t="str">
        <f t="shared" ca="1" si="0"/>
        <v/>
      </c>
      <c r="E41" s="47"/>
      <c r="F41" s="48">
        <v>234</v>
      </c>
      <c r="G41" s="219" t="s">
        <v>118</v>
      </c>
      <c r="H41" s="45" t="s">
        <v>129</v>
      </c>
      <c r="I41" s="46">
        <f t="shared" ca="1" si="1"/>
        <v>0</v>
      </c>
    </row>
    <row r="42" spans="1:19" ht="13.5" customHeight="1">
      <c r="A42" s="48">
        <v>135</v>
      </c>
      <c r="B42" s="107"/>
      <c r="C42" s="45"/>
      <c r="D42" s="46" t="str">
        <f t="shared" ca="1" si="0"/>
        <v/>
      </c>
      <c r="E42" s="47"/>
      <c r="F42" s="48">
        <v>235</v>
      </c>
      <c r="G42" s="219" t="s">
        <v>118</v>
      </c>
      <c r="H42" s="45" t="s">
        <v>168</v>
      </c>
      <c r="I42" s="46">
        <f t="shared" ca="1" si="1"/>
        <v>0</v>
      </c>
      <c r="Q42" s="100" t="s">
        <v>92</v>
      </c>
      <c r="S42" s="100" t="s">
        <v>101</v>
      </c>
    </row>
    <row r="43" spans="1:19" ht="13.5" customHeight="1">
      <c r="A43" s="48">
        <v>136</v>
      </c>
      <c r="B43" s="107"/>
      <c r="C43" s="45"/>
      <c r="D43" s="46" t="str">
        <f t="shared" ca="1" si="0"/>
        <v/>
      </c>
      <c r="E43" s="47"/>
      <c r="F43" s="48">
        <v>236</v>
      </c>
      <c r="G43" s="219" t="s">
        <v>118</v>
      </c>
      <c r="H43" s="45" t="s">
        <v>163</v>
      </c>
      <c r="I43" s="46">
        <f t="shared" ca="1" si="1"/>
        <v>0</v>
      </c>
      <c r="L43" s="179"/>
      <c r="N43" s="179"/>
      <c r="Q43" s="111"/>
      <c r="S43" s="111"/>
    </row>
    <row r="44" spans="1:19" ht="13.5" customHeight="1" thickBot="1">
      <c r="A44" s="48">
        <v>137</v>
      </c>
      <c r="B44" s="107"/>
      <c r="C44" s="45"/>
      <c r="D44" s="46" t="str">
        <f t="shared" ca="1" si="0"/>
        <v/>
      </c>
      <c r="E44" s="47"/>
      <c r="F44" s="48">
        <v>237</v>
      </c>
      <c r="G44" s="219" t="s">
        <v>118</v>
      </c>
      <c r="H44" s="45" t="s">
        <v>187</v>
      </c>
      <c r="I44" s="46">
        <f t="shared" ca="1" si="1"/>
        <v>0</v>
      </c>
      <c r="Q44" s="105">
        <f>SUMIF($B$7:$B$57,"H",$D$7:$D$57)</f>
        <v>0</v>
      </c>
      <c r="R44" s="104">
        <f>Q44+S44</f>
        <v>0</v>
      </c>
      <c r="S44" s="106">
        <f>SUMIF($G$7:$G$57,"H",$I$7:$I$57)</f>
        <v>0</v>
      </c>
    </row>
    <row r="45" spans="1:19" ht="13.5" customHeight="1">
      <c r="A45" s="48">
        <v>138</v>
      </c>
      <c r="B45" s="107"/>
      <c r="C45" s="45"/>
      <c r="D45" s="46" t="str">
        <f t="shared" ca="1" si="0"/>
        <v/>
      </c>
      <c r="E45" s="47"/>
      <c r="F45" s="48">
        <v>238</v>
      </c>
      <c r="G45" s="107"/>
      <c r="H45" s="45"/>
      <c r="I45" s="46" t="str">
        <f t="shared" ca="1" si="1"/>
        <v/>
      </c>
    </row>
    <row r="46" spans="1:19" ht="13.5" customHeight="1" thickBot="1">
      <c r="A46" s="48">
        <v>139</v>
      </c>
      <c r="B46" s="107"/>
      <c r="C46" s="45"/>
      <c r="D46" s="46" t="str">
        <f t="shared" ca="1" si="0"/>
        <v/>
      </c>
      <c r="E46" s="47"/>
      <c r="F46" s="48">
        <v>239</v>
      </c>
      <c r="G46" s="219" t="s">
        <v>118</v>
      </c>
      <c r="H46" s="45" t="s">
        <v>198</v>
      </c>
      <c r="I46" s="46">
        <f t="shared" ca="1" si="1"/>
        <v>0</v>
      </c>
    </row>
    <row r="47" spans="1:19" ht="13.5" customHeight="1">
      <c r="A47" s="48">
        <v>140</v>
      </c>
      <c r="B47" s="107"/>
      <c r="C47" s="45"/>
      <c r="D47" s="46" t="str">
        <f t="shared" ca="1" si="0"/>
        <v/>
      </c>
      <c r="E47" s="47"/>
      <c r="F47" s="48">
        <v>240</v>
      </c>
      <c r="G47" s="219" t="s">
        <v>118</v>
      </c>
      <c r="H47" s="45" t="s">
        <v>199</v>
      </c>
      <c r="I47" s="46">
        <f t="shared" ca="1" si="1"/>
        <v>0</v>
      </c>
      <c r="Q47" s="101" t="s">
        <v>93</v>
      </c>
      <c r="S47" s="101" t="s">
        <v>102</v>
      </c>
    </row>
    <row r="48" spans="1:19" ht="13.5" customHeight="1">
      <c r="A48" s="48">
        <v>141</v>
      </c>
      <c r="B48" s="107"/>
      <c r="C48" s="45"/>
      <c r="D48" s="46" t="str">
        <f t="shared" ca="1" si="0"/>
        <v/>
      </c>
      <c r="E48" s="47"/>
      <c r="F48" s="48">
        <v>241</v>
      </c>
      <c r="G48" s="107"/>
      <c r="H48" s="45"/>
      <c r="I48" s="46" t="str">
        <f t="shared" ca="1" si="1"/>
        <v/>
      </c>
      <c r="L48" s="179"/>
      <c r="N48" s="179"/>
      <c r="Q48" s="111"/>
      <c r="S48" s="111"/>
    </row>
    <row r="49" spans="1:19" ht="13.5" customHeight="1" thickBot="1">
      <c r="A49" s="48">
        <v>142</v>
      </c>
      <c r="B49" s="107"/>
      <c r="C49" s="45"/>
      <c r="D49" s="46" t="str">
        <f t="shared" ca="1" si="0"/>
        <v/>
      </c>
      <c r="E49" s="47"/>
      <c r="F49" s="48">
        <v>242</v>
      </c>
      <c r="G49" s="107"/>
      <c r="H49" s="45"/>
      <c r="I49" s="46" t="str">
        <f t="shared" ca="1" si="1"/>
        <v/>
      </c>
      <c r="Q49" s="105">
        <f>SUMIF($B$7:$B$57,"I",$D$7:$D$57)</f>
        <v>0</v>
      </c>
      <c r="R49" s="104">
        <f>Q49+S49</f>
        <v>0</v>
      </c>
      <c r="S49" s="106">
        <f>SUMIF($G$7:$G$57,"I",$I$7:$I$57)</f>
        <v>0</v>
      </c>
    </row>
    <row r="50" spans="1:19" ht="13.5" customHeight="1">
      <c r="A50" s="48">
        <v>143</v>
      </c>
      <c r="B50" s="107"/>
      <c r="C50" s="45"/>
      <c r="D50" s="46" t="str">
        <f t="shared" ca="1" si="0"/>
        <v/>
      </c>
      <c r="E50" s="47"/>
      <c r="F50" s="48">
        <v>243</v>
      </c>
      <c r="G50" s="219" t="s">
        <v>118</v>
      </c>
      <c r="H50" s="45" t="s">
        <v>79</v>
      </c>
      <c r="I50" s="46">
        <f t="shared" ca="1" si="1"/>
        <v>0</v>
      </c>
    </row>
    <row r="51" spans="1:19" ht="13.5" customHeight="1" thickBot="1">
      <c r="A51" s="48">
        <v>144</v>
      </c>
      <c r="B51" s="107"/>
      <c r="C51" s="45"/>
      <c r="D51" s="46" t="str">
        <f t="shared" ca="1" si="0"/>
        <v/>
      </c>
      <c r="E51" s="47"/>
      <c r="F51" s="48">
        <v>244</v>
      </c>
      <c r="G51" s="219" t="s">
        <v>118</v>
      </c>
      <c r="H51" s="45" t="s">
        <v>80</v>
      </c>
      <c r="I51" s="46">
        <f t="shared" ca="1" si="1"/>
        <v>0</v>
      </c>
    </row>
    <row r="52" spans="1:19" ht="13.5" customHeight="1">
      <c r="A52" s="48">
        <v>145</v>
      </c>
      <c r="B52" s="107"/>
      <c r="C52" s="45"/>
      <c r="D52" s="46" t="str">
        <f t="shared" ca="1" si="0"/>
        <v/>
      </c>
      <c r="E52" s="47"/>
      <c r="F52" s="48">
        <v>245</v>
      </c>
      <c r="G52" s="219" t="s">
        <v>118</v>
      </c>
      <c r="H52" s="45" t="s">
        <v>73</v>
      </c>
      <c r="I52" s="46">
        <f t="shared" ca="1" si="1"/>
        <v>0</v>
      </c>
      <c r="Q52" s="102" t="s">
        <v>94</v>
      </c>
      <c r="S52" s="102" t="s">
        <v>103</v>
      </c>
    </row>
    <row r="53" spans="1:19" ht="13.5" customHeight="1">
      <c r="A53" s="48">
        <v>146</v>
      </c>
      <c r="B53" s="107"/>
      <c r="C53" s="45"/>
      <c r="D53" s="46" t="str">
        <f t="shared" ca="1" si="0"/>
        <v/>
      </c>
      <c r="E53" s="47"/>
      <c r="F53" s="48">
        <v>246</v>
      </c>
      <c r="G53" s="219" t="s">
        <v>118</v>
      </c>
      <c r="H53" s="45" t="s">
        <v>165</v>
      </c>
      <c r="I53" s="46">
        <f t="shared" ca="1" si="1"/>
        <v>0</v>
      </c>
      <c r="L53" s="179"/>
      <c r="N53" s="179"/>
      <c r="Q53" s="111"/>
      <c r="S53" s="111"/>
    </row>
    <row r="54" spans="1:19" ht="13.5" customHeight="1" thickBot="1">
      <c r="A54" s="48">
        <v>147</v>
      </c>
      <c r="B54" s="219" t="s">
        <v>118</v>
      </c>
      <c r="C54" s="45" t="s">
        <v>75</v>
      </c>
      <c r="D54" s="46">
        <f t="shared" ca="1" si="0"/>
        <v>120.75</v>
      </c>
      <c r="E54" s="47"/>
      <c r="F54" s="48">
        <v>247</v>
      </c>
      <c r="G54" s="219" t="s">
        <v>118</v>
      </c>
      <c r="H54" s="45" t="s">
        <v>76</v>
      </c>
      <c r="I54" s="46">
        <f t="shared" ca="1" si="1"/>
        <v>0</v>
      </c>
      <c r="Q54" s="105">
        <f>SUMIF($B$7:$B$57,"K",$D$7:$D$57)</f>
        <v>0</v>
      </c>
      <c r="R54" s="104">
        <f>Q54+S54</f>
        <v>0</v>
      </c>
      <c r="S54" s="106">
        <f>SUMIF($G$7:$G$57,"K",$I$7:$I$57)</f>
        <v>0</v>
      </c>
    </row>
    <row r="55" spans="1:19" ht="13.5" customHeight="1">
      <c r="A55" s="48">
        <v>148</v>
      </c>
      <c r="B55" s="107"/>
      <c r="C55" s="45"/>
      <c r="D55" s="46" t="str">
        <f t="shared" ca="1" si="0"/>
        <v/>
      </c>
      <c r="E55" s="47"/>
      <c r="F55" s="48">
        <v>248</v>
      </c>
      <c r="G55" s="219" t="s">
        <v>118</v>
      </c>
      <c r="H55" s="45" t="s">
        <v>77</v>
      </c>
      <c r="I55" s="46">
        <f t="shared" ca="1" si="1"/>
        <v>0</v>
      </c>
      <c r="M55" s="36" t="s">
        <v>108</v>
      </c>
      <c r="R55" s="36" t="s">
        <v>108</v>
      </c>
    </row>
    <row r="56" spans="1:19" ht="13.5" customHeight="1" thickBot="1">
      <c r="A56" s="48">
        <v>149</v>
      </c>
      <c r="B56" s="107"/>
      <c r="C56" s="45"/>
      <c r="D56" s="46" t="str">
        <f t="shared" ca="1" si="0"/>
        <v/>
      </c>
      <c r="E56" s="47"/>
      <c r="F56" s="48">
        <v>249</v>
      </c>
      <c r="G56" s="219" t="s">
        <v>118</v>
      </c>
      <c r="H56" s="45" t="s">
        <v>81</v>
      </c>
      <c r="I56" s="46">
        <f t="shared" ca="1" si="1"/>
        <v>0</v>
      </c>
    </row>
    <row r="57" spans="1:19" ht="13.5" customHeight="1" thickBot="1">
      <c r="A57" s="48">
        <v>150</v>
      </c>
      <c r="B57" s="219" t="s">
        <v>118</v>
      </c>
      <c r="C57" s="45" t="s">
        <v>72</v>
      </c>
      <c r="D57" s="46">
        <f t="shared" ca="1" si="0"/>
        <v>0</v>
      </c>
      <c r="E57" s="47"/>
      <c r="F57" s="48">
        <v>250</v>
      </c>
      <c r="G57" s="219" t="s">
        <v>118</v>
      </c>
      <c r="H57" s="45" t="s">
        <v>70</v>
      </c>
      <c r="I57" s="46">
        <f t="shared" ca="1" si="1"/>
        <v>-1500</v>
      </c>
      <c r="L57" s="119">
        <f ca="1">L9+L14+L19+L24+L29+L34+L39+L44+L49+L54</f>
        <v>1900.75</v>
      </c>
      <c r="M57" s="120" t="s">
        <v>111</v>
      </c>
      <c r="N57" s="121">
        <f ca="1">N9+N14+N19+N24+N29+N34+N39+N44+N49+N54</f>
        <v>-2410</v>
      </c>
      <c r="Q57" s="119">
        <f ca="1">Q9+Q14+Q19+Q24+Q29+Q34+Q39+Q44+Q49+Q54</f>
        <v>1900.75</v>
      </c>
      <c r="R57" s="120" t="s">
        <v>111</v>
      </c>
      <c r="S57" s="121">
        <f ca="1">S9+S14+S19+S24+S29+S34+S39+S44+S49+S54</f>
        <v>-2410</v>
      </c>
    </row>
    <row r="58" spans="1:19" ht="13.5" customHeight="1" thickTop="1" thickBot="1">
      <c r="A58" s="49" t="s">
        <v>38</v>
      </c>
      <c r="B58" s="91"/>
      <c r="C58" s="50"/>
      <c r="D58" s="51">
        <f ca="1">SUM(D7:D57)</f>
        <v>1900.75</v>
      </c>
      <c r="E58" s="38"/>
      <c r="F58" s="49" t="s">
        <v>39</v>
      </c>
      <c r="G58" s="91"/>
      <c r="H58" s="50"/>
      <c r="I58" s="51">
        <f ca="1">SUM(I7:I57)</f>
        <v>-2410</v>
      </c>
      <c r="L58" s="117">
        <f ca="1">$D$58</f>
        <v>1900.75</v>
      </c>
      <c r="M58" s="41" t="s">
        <v>110</v>
      </c>
      <c r="N58" s="116">
        <f ca="1">$I$58</f>
        <v>-2410</v>
      </c>
      <c r="Q58" s="117">
        <f ca="1">$D$58</f>
        <v>1900.75</v>
      </c>
      <c r="R58" s="41" t="s">
        <v>110</v>
      </c>
      <c r="S58" s="116">
        <f ca="1">$I$58</f>
        <v>-2410</v>
      </c>
    </row>
    <row r="59" spans="1:19" ht="13.5" customHeight="1" thickTop="1">
      <c r="A59" s="52" t="s">
        <v>109</v>
      </c>
      <c r="B59" s="92"/>
      <c r="C59" s="53"/>
      <c r="D59" s="149">
        <f ca="1">Jan.!$E$7</f>
        <v>1900.75</v>
      </c>
      <c r="E59" s="38"/>
      <c r="F59" s="52" t="s">
        <v>109</v>
      </c>
      <c r="G59" s="92"/>
      <c r="H59" s="53"/>
      <c r="I59" s="149">
        <f ca="1">Jan.!$G$7</f>
        <v>-2410</v>
      </c>
      <c r="L59" s="113">
        <f ca="1">L9+L14+L19+L24+L29+L34+L39+L44+L49+L54+SUMIF($B$7:$B$57,"",$D$7:$D$57)</f>
        <v>1900.75</v>
      </c>
      <c r="M59" s="118" t="s">
        <v>107</v>
      </c>
      <c r="N59" s="113">
        <f ca="1">N9+N14+N19+N24+N29+N34+N39+N44+N49+N54+SUMIF($G$7:$G$57,"",$I$7:$I$57)</f>
        <v>-2410</v>
      </c>
      <c r="Q59" s="113">
        <f ca="1">Q9+Q14+Q19+Q24+Q29+Q34+Q39+Q44+Q49+Q54+SUMIF($B$7:$B$57,"",$D$7:$D$57)</f>
        <v>1900.75</v>
      </c>
      <c r="R59" s="118" t="s">
        <v>107</v>
      </c>
      <c r="S59" s="113">
        <f ca="1">S9+S14+S19+S24+S29+S34+S39+S44+S49+S54+SUMIF($G$7:$G$57,"",$I$7:$I$57)</f>
        <v>-2410</v>
      </c>
    </row>
    <row r="60" spans="1:19" ht="13.5" customHeight="1">
      <c r="A60" s="54"/>
      <c r="B60" s="94"/>
      <c r="C60" s="55"/>
      <c r="D60" s="56"/>
      <c r="F60" s="54"/>
      <c r="G60" s="94"/>
      <c r="H60" s="55"/>
      <c r="I60" s="56"/>
    </row>
    <row r="61" spans="1:19" ht="15.95" customHeight="1">
      <c r="A61" s="57" t="str">
        <f>$A$1</f>
        <v>Einnahmen und Ausgaben nach Kategorien</v>
      </c>
      <c r="B61" s="33"/>
      <c r="C61" s="58"/>
      <c r="D61" s="58"/>
      <c r="E61" s="58"/>
      <c r="F61" s="58"/>
      <c r="G61" s="34"/>
      <c r="H61" s="58"/>
      <c r="I61" s="59" t="str">
        <f>CONCATENATE("Februar ",$A$2)</f>
        <v xml:space="preserve">Februar </v>
      </c>
      <c r="L61" s="33" t="str">
        <f>CONCATENATE("Kategoriengruppen Februar ",$A$2)</f>
        <v xml:space="preserve">Kategoriengruppen Februar </v>
      </c>
      <c r="Q61" s="33" t="str">
        <f>CONCATENATE("Kategoriengruppen Februar ",$A$2)</f>
        <v xml:space="preserve">Kategoriengruppen Februar </v>
      </c>
    </row>
    <row r="62" spans="1:19" ht="13.5" customHeight="1"/>
    <row r="63" spans="1:19" ht="13.5" customHeight="1"/>
    <row r="64" spans="1:19" ht="13.5" customHeight="1">
      <c r="A64" s="60" t="s">
        <v>40</v>
      </c>
      <c r="B64" s="39"/>
      <c r="C64" s="60"/>
      <c r="D64" s="60"/>
      <c r="F64" s="60" t="s">
        <v>41</v>
      </c>
      <c r="G64" s="39"/>
      <c r="H64" s="60"/>
      <c r="I64" s="60"/>
      <c r="L64" s="39" t="s">
        <v>84</v>
      </c>
      <c r="M64" s="103" t="s">
        <v>106</v>
      </c>
      <c r="N64" s="39" t="s">
        <v>85</v>
      </c>
      <c r="Q64" s="39" t="s">
        <v>84</v>
      </c>
      <c r="R64" s="103" t="s">
        <v>106</v>
      </c>
      <c r="S64" s="39" t="s">
        <v>85</v>
      </c>
    </row>
    <row r="65" spans="1:19" ht="13.5" customHeight="1" thickBot="1"/>
    <row r="66" spans="1:19" ht="13.5" customHeight="1" thickTop="1" thickBot="1">
      <c r="A66" s="61" t="s">
        <v>24</v>
      </c>
      <c r="B66" s="90" t="s">
        <v>82</v>
      </c>
      <c r="C66" s="62" t="s">
        <v>25</v>
      </c>
      <c r="D66" s="63" t="str">
        <f>$D$6</f>
        <v>CHF</v>
      </c>
      <c r="F66" s="61" t="s">
        <v>24</v>
      </c>
      <c r="G66" s="90" t="s">
        <v>82</v>
      </c>
      <c r="H66" s="62" t="s">
        <v>25</v>
      </c>
      <c r="I66" s="63" t="str">
        <f>$D$6</f>
        <v>CHF</v>
      </c>
    </row>
    <row r="67" spans="1:19" ht="13.5" customHeight="1" thickTop="1">
      <c r="A67" s="64">
        <f>$A$7</f>
        <v>100</v>
      </c>
      <c r="B67" s="153" t="str">
        <f>IF(B$7="","",B$7)</f>
        <v>A</v>
      </c>
      <c r="C67" s="65" t="str">
        <f>IF($C$7="","",$C$7)</f>
        <v>Ladenverkauf</v>
      </c>
      <c r="D67" s="66">
        <f ca="1">IF(C67="","",SUMIF(INDIRECT("Feb.!$D$15:$D$16000"),A67,INDIRECT("Feb.!$E$15:$E$16000")))</f>
        <v>0</v>
      </c>
      <c r="E67" s="67"/>
      <c r="F67" s="64">
        <f>$F$7</f>
        <v>200</v>
      </c>
      <c r="G67" s="153" t="str">
        <f>IF(G$7="","",G$7)</f>
        <v>A</v>
      </c>
      <c r="H67" s="65" t="str">
        <f>IF($H$7="","",$H$7)</f>
        <v>Maschinen und Geräte</v>
      </c>
      <c r="I67" s="66">
        <f ca="1">IF(H67="","",SUMIF(INDIRECT("Feb.!$F$15:$F$16000"),F67,INDIRECT("Feb.!$G$15:$G$16000")))</f>
        <v>0</v>
      </c>
      <c r="L67" s="95" t="s">
        <v>83</v>
      </c>
      <c r="N67" s="95" t="s">
        <v>104</v>
      </c>
      <c r="Q67" s="95" t="s">
        <v>83</v>
      </c>
      <c r="S67" s="95" t="s">
        <v>104</v>
      </c>
    </row>
    <row r="68" spans="1:19" ht="13.5" customHeight="1">
      <c r="A68" s="64">
        <f>$A$8</f>
        <v>101</v>
      </c>
      <c r="B68" s="153" t="str">
        <f>IF(B$8="","",B$8)</f>
        <v>A</v>
      </c>
      <c r="C68" s="65" t="str">
        <f>IF($C$8="","",$C$8)</f>
        <v>Verkauf über Internet</v>
      </c>
      <c r="D68" s="66">
        <f t="shared" ref="D68:D117" ca="1" si="2">IF(C68="","",SUMIF(INDIRECT("Feb.!$D$15:$D$16000"),A68,INDIRECT("Feb.!$E$15:$E$16000")))</f>
        <v>0</v>
      </c>
      <c r="E68" s="67"/>
      <c r="F68" s="64">
        <f>$F$8</f>
        <v>201</v>
      </c>
      <c r="G68" s="153" t="str">
        <f>IF(G$8="","",G$8)</f>
        <v>A</v>
      </c>
      <c r="H68" s="65" t="str">
        <f>IF($H$8="","",$H$8)</f>
        <v>Ladenmiete</v>
      </c>
      <c r="I68" s="66">
        <f t="shared" ref="I68:I117" ca="1" si="3">IF(H68="","",SUMIF(INDIRECT("Feb.!$F$15:$F$16000"),F68,INDIRECT("Feb.!$G$15:$G$16000")))</f>
        <v>0</v>
      </c>
      <c r="L68" s="112" t="str">
        <f>IF(L$8="","",L$8)</f>
        <v>Landwirtschaft</v>
      </c>
      <c r="N68" s="112" t="str">
        <f>IF(N$8="","",N$8)</f>
        <v>Landwirtschaft</v>
      </c>
      <c r="Q68" s="112" t="str">
        <f>IF(Q$8="","",Q$8)</f>
        <v/>
      </c>
      <c r="S68" s="112" t="str">
        <f>IF(S$8="","",S$8)</f>
        <v/>
      </c>
    </row>
    <row r="69" spans="1:19" ht="13.5" customHeight="1" thickBot="1">
      <c r="A69" s="64">
        <f>$A$9</f>
        <v>102</v>
      </c>
      <c r="B69" s="93" t="str">
        <f>IF(B$9="","",B$9)</f>
        <v/>
      </c>
      <c r="C69" s="65" t="str">
        <f>IF($C$9="","",$C$9)</f>
        <v/>
      </c>
      <c r="D69" s="66" t="str">
        <f t="shared" ca="1" si="2"/>
        <v/>
      </c>
      <c r="E69" s="67"/>
      <c r="F69" s="64">
        <f>$F$9</f>
        <v>202</v>
      </c>
      <c r="G69" s="153" t="str">
        <f>IF(G$9="","",G$9)</f>
        <v>A</v>
      </c>
      <c r="H69" s="65" t="str">
        <f>IF($H$9="","",$H$9)</f>
        <v>Werbeausgaben</v>
      </c>
      <c r="I69" s="66">
        <f t="shared" ca="1" si="3"/>
        <v>0</v>
      </c>
      <c r="L69" s="105">
        <f ca="1">SUMIF($B$67:$B$117,"A",$D$67:$D$117)</f>
        <v>0</v>
      </c>
      <c r="M69" s="104">
        <f ca="1">L69+N69</f>
        <v>0</v>
      </c>
      <c r="N69" s="106">
        <f ca="1">SUMIF($G$67:$G$117,"A",$I$67:$I$117)</f>
        <v>0</v>
      </c>
      <c r="Q69" s="105">
        <f ca="1">SUMIF($B$67:$B$117,"A",$D$67:$D$117)</f>
        <v>0</v>
      </c>
      <c r="R69" s="104">
        <f ca="1">Q69+S69</f>
        <v>0</v>
      </c>
      <c r="S69" s="106">
        <f ca="1">SUMIF($G$67:$G$117,"A",$I$67:$I$117)</f>
        <v>0</v>
      </c>
    </row>
    <row r="70" spans="1:19" ht="13.5" customHeight="1">
      <c r="A70" s="64">
        <f>$A$10</f>
        <v>103</v>
      </c>
      <c r="B70" s="93" t="str">
        <f>IF(B$10="","",B$10)</f>
        <v/>
      </c>
      <c r="C70" s="65" t="str">
        <f>IF($C$10="","",$C$10)</f>
        <v/>
      </c>
      <c r="D70" s="66" t="str">
        <f t="shared" ca="1" si="2"/>
        <v/>
      </c>
      <c r="E70" s="67"/>
      <c r="F70" s="64">
        <f>$F$10</f>
        <v>203</v>
      </c>
      <c r="G70" s="153" t="str">
        <f>IF(G$10="","",G$10)</f>
        <v>A</v>
      </c>
      <c r="H70" s="65" t="str">
        <f>IF($H$10="","",$H$10)</f>
        <v>Löhne</v>
      </c>
      <c r="I70" s="66">
        <f t="shared" ca="1" si="3"/>
        <v>0</v>
      </c>
    </row>
    <row r="71" spans="1:19" ht="13.5" customHeight="1" thickBot="1">
      <c r="A71" s="64">
        <f>$A$11</f>
        <v>104</v>
      </c>
      <c r="B71" s="93" t="str">
        <f>IF(B$11="","",B$11)</f>
        <v/>
      </c>
      <c r="C71" s="65" t="str">
        <f>IF($C$11="","",$C$11)</f>
        <v/>
      </c>
      <c r="D71" s="66" t="str">
        <f t="shared" ca="1" si="2"/>
        <v/>
      </c>
      <c r="E71" s="67"/>
      <c r="F71" s="64">
        <f>$F$11</f>
        <v>204</v>
      </c>
      <c r="G71" s="93" t="str">
        <f>IF(G$11="","",G$11)</f>
        <v/>
      </c>
      <c r="H71" s="65" t="str">
        <f>IF($H$11="","",$H$11)</f>
        <v/>
      </c>
      <c r="I71" s="66" t="str">
        <f t="shared" ca="1" si="3"/>
        <v/>
      </c>
    </row>
    <row r="72" spans="1:19" ht="13.5" customHeight="1">
      <c r="A72" s="64">
        <f>$A$12</f>
        <v>105</v>
      </c>
      <c r="B72" s="93" t="str">
        <f>IF(B$12="","",B$12)</f>
        <v/>
      </c>
      <c r="C72" s="65" t="str">
        <f>IF($C$12="","",$C$12)</f>
        <v/>
      </c>
      <c r="D72" s="66" t="str">
        <f t="shared" ca="1" si="2"/>
        <v/>
      </c>
      <c r="E72" s="67"/>
      <c r="F72" s="64">
        <f>$F$12</f>
        <v>205</v>
      </c>
      <c r="G72" s="93" t="str">
        <f>IF(G$12="","",G$12)</f>
        <v/>
      </c>
      <c r="H72" s="65" t="str">
        <f>IF($H$12="","",$H$12)</f>
        <v/>
      </c>
      <c r="I72" s="66" t="str">
        <f t="shared" ca="1" si="3"/>
        <v/>
      </c>
      <c r="L72" s="96" t="s">
        <v>86</v>
      </c>
      <c r="N72" s="96" t="s">
        <v>95</v>
      </c>
      <c r="Q72" s="96" t="s">
        <v>86</v>
      </c>
      <c r="S72" s="96" t="s">
        <v>95</v>
      </c>
    </row>
    <row r="73" spans="1:19" ht="13.5" customHeight="1">
      <c r="A73" s="64">
        <f>$A$13</f>
        <v>106</v>
      </c>
      <c r="B73" s="93" t="str">
        <f>IF(B$13="","",B$13)</f>
        <v/>
      </c>
      <c r="C73" s="65" t="str">
        <f>IF($C$13="","",$C$13)</f>
        <v/>
      </c>
      <c r="D73" s="66" t="str">
        <f t="shared" ca="1" si="2"/>
        <v/>
      </c>
      <c r="E73" s="67"/>
      <c r="F73" s="64">
        <f>$F$13</f>
        <v>206</v>
      </c>
      <c r="G73" s="93" t="str">
        <f>IF(G$13="","",G$13)</f>
        <v/>
      </c>
      <c r="H73" s="65" t="str">
        <f>IF($H$13="","",$H$13)</f>
        <v/>
      </c>
      <c r="I73" s="66" t="str">
        <f t="shared" ca="1" si="3"/>
        <v/>
      </c>
      <c r="L73" s="112" t="str">
        <f>IF(L$13="","",L$13)</f>
        <v>Privat</v>
      </c>
      <c r="N73" s="112" t="str">
        <f>IF(N$13="","",N$13)</f>
        <v>Privat</v>
      </c>
      <c r="Q73" s="112" t="str">
        <f>IF(Q$13="","",Q$13)</f>
        <v/>
      </c>
      <c r="S73" s="112" t="str">
        <f>IF(S$13="","",S$13)</f>
        <v/>
      </c>
    </row>
    <row r="74" spans="1:19" ht="13.5" customHeight="1" thickBot="1">
      <c r="A74" s="64">
        <f>$A$14</f>
        <v>107</v>
      </c>
      <c r="B74" s="93" t="str">
        <f>IF(B$14="","",B$14)</f>
        <v/>
      </c>
      <c r="C74" s="65" t="str">
        <f>IF($C$14="","",$C$14)</f>
        <v/>
      </c>
      <c r="D74" s="66" t="str">
        <f t="shared" ca="1" si="2"/>
        <v/>
      </c>
      <c r="E74" s="67"/>
      <c r="F74" s="64">
        <f>$F$14</f>
        <v>207</v>
      </c>
      <c r="G74" s="93" t="str">
        <f>IF(G$14="","",G$14)</f>
        <v/>
      </c>
      <c r="H74" s="65" t="str">
        <f>IF($H$14="","",$H$14)</f>
        <v/>
      </c>
      <c r="I74" s="66" t="str">
        <f t="shared" ca="1" si="3"/>
        <v/>
      </c>
      <c r="L74" s="105">
        <f ca="1">SUMIF($B$67:$B$117,"B",$D$67:$D$117)</f>
        <v>0</v>
      </c>
      <c r="M74" s="104">
        <f ca="1">L74+N74</f>
        <v>0</v>
      </c>
      <c r="N74" s="106">
        <f ca="1">SUMIF($G$67:$G$117,"B",$I$67:$I$117)</f>
        <v>0</v>
      </c>
      <c r="Q74" s="105">
        <f ca="1">SUMIF($B$67:$B$117,"B",$D$67:$D$117)</f>
        <v>0</v>
      </c>
      <c r="R74" s="104">
        <f ca="1">Q74+S74</f>
        <v>0</v>
      </c>
      <c r="S74" s="106">
        <f ca="1">SUMIF($G$67:$G$117,"B",$I$67:$I$117)</f>
        <v>0</v>
      </c>
    </row>
    <row r="75" spans="1:19" ht="13.5" customHeight="1">
      <c r="A75" s="64">
        <f>$A$15</f>
        <v>108</v>
      </c>
      <c r="B75" s="93" t="str">
        <f>IF(B$15="","",B$15)</f>
        <v/>
      </c>
      <c r="C75" s="65" t="str">
        <f>IF($C$15="","",$C$15)</f>
        <v/>
      </c>
      <c r="D75" s="66" t="str">
        <f t="shared" ca="1" si="2"/>
        <v/>
      </c>
      <c r="E75" s="67"/>
      <c r="F75" s="64">
        <f>$F$15</f>
        <v>208</v>
      </c>
      <c r="G75" s="93" t="str">
        <f>IF(G$15="","",G$15)</f>
        <v/>
      </c>
      <c r="H75" s="65" t="str">
        <f>IF($H$15="","",$H$15)</f>
        <v/>
      </c>
      <c r="I75" s="66" t="str">
        <f t="shared" ca="1" si="3"/>
        <v/>
      </c>
    </row>
    <row r="76" spans="1:19" ht="13.5" customHeight="1" thickBot="1">
      <c r="A76" s="64">
        <f>$A$16</f>
        <v>109</v>
      </c>
      <c r="B76" s="93" t="str">
        <f>IF(B$16="","",B$16)</f>
        <v/>
      </c>
      <c r="C76" s="65" t="str">
        <f>IF($C$16="","",$C$16)</f>
        <v/>
      </c>
      <c r="D76" s="66" t="str">
        <f t="shared" ca="1" si="2"/>
        <v/>
      </c>
      <c r="E76" s="67"/>
      <c r="F76" s="64">
        <f>$F$16</f>
        <v>209</v>
      </c>
      <c r="G76" s="93" t="str">
        <f>IF(G$16="","",G$16)</f>
        <v/>
      </c>
      <c r="H76" s="65" t="str">
        <f>IF($H$16="","",$H$16)</f>
        <v/>
      </c>
      <c r="I76" s="66" t="str">
        <f t="shared" ca="1" si="3"/>
        <v/>
      </c>
    </row>
    <row r="77" spans="1:19" ht="13.5" customHeight="1">
      <c r="A77" s="64">
        <f>$A$17</f>
        <v>110</v>
      </c>
      <c r="B77" s="93" t="str">
        <f>IF(B$17="","",B$17)</f>
        <v/>
      </c>
      <c r="C77" s="65" t="str">
        <f>IF($C$17="","",$C$17)</f>
        <v/>
      </c>
      <c r="D77" s="66" t="str">
        <f t="shared" ca="1" si="2"/>
        <v/>
      </c>
      <c r="E77" s="67"/>
      <c r="F77" s="64">
        <f>$F$17</f>
        <v>210</v>
      </c>
      <c r="G77" s="93" t="str">
        <f>IF(G$17="","",G$17)</f>
        <v/>
      </c>
      <c r="H77" s="65" t="str">
        <f>IF($H$17="","",$H$17)</f>
        <v/>
      </c>
      <c r="I77" s="66" t="str">
        <f t="shared" ca="1" si="3"/>
        <v/>
      </c>
      <c r="Q77" s="109" t="s">
        <v>87</v>
      </c>
      <c r="S77" s="109" t="s">
        <v>96</v>
      </c>
    </row>
    <row r="78" spans="1:19" ht="13.5" customHeight="1">
      <c r="A78" s="64">
        <f>$A$18</f>
        <v>111</v>
      </c>
      <c r="B78" s="93" t="str">
        <f>IF(B$18="","",B$18)</f>
        <v/>
      </c>
      <c r="C78" s="65" t="str">
        <f>IF($C$18="","",$C$18)</f>
        <v/>
      </c>
      <c r="D78" s="66" t="str">
        <f t="shared" ca="1" si="2"/>
        <v/>
      </c>
      <c r="E78" s="67"/>
      <c r="F78" s="64">
        <f>$F$18</f>
        <v>211</v>
      </c>
      <c r="G78" s="93" t="str">
        <f>IF(G$18="","",G$18)</f>
        <v/>
      </c>
      <c r="H78" s="65" t="str">
        <f>IF($H$18="","",$H$18)</f>
        <v/>
      </c>
      <c r="I78" s="66" t="str">
        <f t="shared" ca="1" si="3"/>
        <v/>
      </c>
      <c r="Q78" s="112" t="str">
        <f>IF(Q$18="","",Q$18)</f>
        <v/>
      </c>
      <c r="S78" s="112" t="str">
        <f>IF(S$18="","",S$18)</f>
        <v/>
      </c>
    </row>
    <row r="79" spans="1:19" ht="13.5" customHeight="1" thickBot="1">
      <c r="A79" s="64">
        <f>$A$19</f>
        <v>112</v>
      </c>
      <c r="B79" s="93" t="str">
        <f>IF(B$19="","",B$19)</f>
        <v/>
      </c>
      <c r="C79" s="65" t="str">
        <f>IF($C$19="","",$C$19)</f>
        <v/>
      </c>
      <c r="D79" s="66" t="str">
        <f t="shared" ca="1" si="2"/>
        <v/>
      </c>
      <c r="E79" s="67"/>
      <c r="F79" s="64">
        <f>$F$19</f>
        <v>212</v>
      </c>
      <c r="G79" s="93" t="str">
        <f>IF(G$19="","",G$19)</f>
        <v/>
      </c>
      <c r="H79" s="65" t="str">
        <f>IF($H$19="","",$H$19)</f>
        <v/>
      </c>
      <c r="I79" s="66" t="str">
        <f t="shared" ca="1" si="3"/>
        <v/>
      </c>
      <c r="Q79" s="105">
        <f>SUMIF($B$67:$B$117,"C",$D$67:$D$117)</f>
        <v>0</v>
      </c>
      <c r="R79" s="104">
        <f>Q79+S79</f>
        <v>0</v>
      </c>
      <c r="S79" s="106">
        <f>SUMIF($G$67:$G$117,"C",$I$67:$I$117)</f>
        <v>0</v>
      </c>
    </row>
    <row r="80" spans="1:19" ht="13.5" customHeight="1">
      <c r="A80" s="64">
        <f>$A$20</f>
        <v>113</v>
      </c>
      <c r="B80" s="93" t="str">
        <f>IF(B$20="","",B$20)</f>
        <v/>
      </c>
      <c r="C80" s="65" t="str">
        <f>IF($C$20="","",$C$20)</f>
        <v/>
      </c>
      <c r="D80" s="66" t="str">
        <f t="shared" ca="1" si="2"/>
        <v/>
      </c>
      <c r="E80" s="67"/>
      <c r="F80" s="64">
        <f>$F$20</f>
        <v>213</v>
      </c>
      <c r="G80" s="93" t="str">
        <f>IF(G$20="","",G$20)</f>
        <v/>
      </c>
      <c r="H80" s="65" t="str">
        <f>IF($H$20="","",$H$20)</f>
        <v/>
      </c>
      <c r="I80" s="66" t="str">
        <f t="shared" ca="1" si="3"/>
        <v/>
      </c>
    </row>
    <row r="81" spans="1:19" ht="13.5" customHeight="1" thickBot="1">
      <c r="A81" s="64">
        <f>$A$21</f>
        <v>114</v>
      </c>
      <c r="B81" s="93" t="str">
        <f>IF(B$21="","",B$21)</f>
        <v/>
      </c>
      <c r="C81" s="65" t="str">
        <f>IF($C$21="","",$C$21)</f>
        <v/>
      </c>
      <c r="D81" s="66" t="str">
        <f t="shared" ca="1" si="2"/>
        <v/>
      </c>
      <c r="E81" s="67"/>
      <c r="F81" s="64">
        <f>$F$21</f>
        <v>214</v>
      </c>
      <c r="G81" s="93" t="str">
        <f>IF(G$21="","",G$21)</f>
        <v/>
      </c>
      <c r="H81" s="65" t="str">
        <f>IF($H$21="","",$H$21)</f>
        <v/>
      </c>
      <c r="I81" s="66" t="str">
        <f t="shared" ca="1" si="3"/>
        <v/>
      </c>
    </row>
    <row r="82" spans="1:19" ht="13.5" customHeight="1">
      <c r="A82" s="64">
        <f>$A$22</f>
        <v>115</v>
      </c>
      <c r="B82" s="93" t="str">
        <f>IF(B$22="","",B$22)</f>
        <v/>
      </c>
      <c r="C82" s="65" t="str">
        <f>IF($C$22="","",$C$22)</f>
        <v/>
      </c>
      <c r="D82" s="66" t="str">
        <f t="shared" ca="1" si="2"/>
        <v/>
      </c>
      <c r="E82" s="67"/>
      <c r="F82" s="64">
        <f>$F$22</f>
        <v>215</v>
      </c>
      <c r="G82" s="93" t="str">
        <f>IF(G$22="","",G$22)</f>
        <v/>
      </c>
      <c r="H82" s="65" t="str">
        <f>IF($H$22="","",$H$22)</f>
        <v/>
      </c>
      <c r="I82" s="66" t="str">
        <f t="shared" ca="1" si="3"/>
        <v/>
      </c>
      <c r="Q82" s="97" t="s">
        <v>88</v>
      </c>
      <c r="S82" s="97" t="s">
        <v>97</v>
      </c>
    </row>
    <row r="83" spans="1:19" ht="13.5" customHeight="1">
      <c r="A83" s="64">
        <f>$A$23</f>
        <v>116</v>
      </c>
      <c r="B83" s="93" t="str">
        <f>IF(B$23="","",B$23)</f>
        <v/>
      </c>
      <c r="C83" s="65" t="str">
        <f>IF($C$23="","",$C$23)</f>
        <v/>
      </c>
      <c r="D83" s="66" t="str">
        <f t="shared" ca="1" si="2"/>
        <v/>
      </c>
      <c r="E83" s="67"/>
      <c r="F83" s="64">
        <f>$F$23</f>
        <v>216</v>
      </c>
      <c r="G83" s="93" t="str">
        <f>IF(G$23="","",G$23)</f>
        <v/>
      </c>
      <c r="H83" s="65" t="str">
        <f>IF($H$23="","",$H$23)</f>
        <v/>
      </c>
      <c r="I83" s="66" t="str">
        <f t="shared" ca="1" si="3"/>
        <v/>
      </c>
      <c r="Q83" s="112" t="str">
        <f>IF(Q$23="","",Q$23)</f>
        <v/>
      </c>
      <c r="S83" s="112" t="str">
        <f>IF(S$23="","",S$23)</f>
        <v/>
      </c>
    </row>
    <row r="84" spans="1:19" ht="13.5" customHeight="1" thickBot="1">
      <c r="A84" s="64">
        <f>$A$24</f>
        <v>117</v>
      </c>
      <c r="B84" s="93" t="str">
        <f>IF(B$24="","",B$24)</f>
        <v/>
      </c>
      <c r="C84" s="65" t="str">
        <f>IF($C$24="","",$C$24)</f>
        <v/>
      </c>
      <c r="D84" s="66" t="str">
        <f t="shared" ca="1" si="2"/>
        <v/>
      </c>
      <c r="E84" s="67"/>
      <c r="F84" s="64">
        <f>$F$24</f>
        <v>217</v>
      </c>
      <c r="G84" s="93" t="str">
        <f>IF(G$24="","",G$24)</f>
        <v/>
      </c>
      <c r="H84" s="65" t="str">
        <f>IF($H$24="","",$H$24)</f>
        <v/>
      </c>
      <c r="I84" s="66" t="str">
        <f t="shared" ca="1" si="3"/>
        <v/>
      </c>
      <c r="Q84" s="105">
        <f>SUMIF($B$67:$B$117,"D",$D$67:$D$117)</f>
        <v>0</v>
      </c>
      <c r="R84" s="104">
        <f>Q84+S84</f>
        <v>0</v>
      </c>
      <c r="S84" s="106">
        <f>SUMIF($G$67:$G$117,"D",$I$67:$I$117)</f>
        <v>0</v>
      </c>
    </row>
    <row r="85" spans="1:19" ht="13.5" customHeight="1">
      <c r="A85" s="64">
        <f>$A$25</f>
        <v>118</v>
      </c>
      <c r="B85" s="93" t="str">
        <f>IF(B$25="","",B$25)</f>
        <v/>
      </c>
      <c r="C85" s="65" t="str">
        <f>IF($C$25="","",$C$25)</f>
        <v/>
      </c>
      <c r="D85" s="66" t="str">
        <f t="shared" ca="1" si="2"/>
        <v/>
      </c>
      <c r="E85" s="67"/>
      <c r="F85" s="64">
        <f>$F$25</f>
        <v>218</v>
      </c>
      <c r="G85" s="93" t="str">
        <f>IF(G$25="","",G$25)</f>
        <v/>
      </c>
      <c r="H85" s="65" t="str">
        <f>IF($H$25="","",$H$25)</f>
        <v/>
      </c>
      <c r="I85" s="66" t="str">
        <f t="shared" ca="1" si="3"/>
        <v/>
      </c>
    </row>
    <row r="86" spans="1:19" ht="13.5" customHeight="1" thickBot="1">
      <c r="A86" s="64">
        <f>$A$26</f>
        <v>119</v>
      </c>
      <c r="B86" s="93" t="str">
        <f>IF(B$26="","",B$26)</f>
        <v/>
      </c>
      <c r="C86" s="65" t="str">
        <f>IF($C$26="","",$C$26)</f>
        <v/>
      </c>
      <c r="D86" s="66" t="str">
        <f t="shared" ca="1" si="2"/>
        <v/>
      </c>
      <c r="E86" s="67"/>
      <c r="F86" s="64">
        <f>$F$26</f>
        <v>219</v>
      </c>
      <c r="G86" s="93" t="str">
        <f>IF(G$26="","",G$26)</f>
        <v/>
      </c>
      <c r="H86" s="65" t="str">
        <f>IF($H$26="","",$H$26)</f>
        <v/>
      </c>
      <c r="I86" s="66" t="str">
        <f t="shared" ca="1" si="3"/>
        <v/>
      </c>
    </row>
    <row r="87" spans="1:19" ht="13.5" customHeight="1">
      <c r="A87" s="64">
        <f>$A$27</f>
        <v>120</v>
      </c>
      <c r="B87" s="93" t="str">
        <f>IF(B$27="","",B$27)</f>
        <v/>
      </c>
      <c r="C87" s="65" t="str">
        <f>IF($C$27="","",$C$27)</f>
        <v/>
      </c>
      <c r="D87" s="66" t="str">
        <f t="shared" ca="1" si="2"/>
        <v/>
      </c>
      <c r="E87" s="67"/>
      <c r="F87" s="64">
        <f>$F$27</f>
        <v>220</v>
      </c>
      <c r="G87" s="93" t="str">
        <f>IF(G$27="","",G$27)</f>
        <v/>
      </c>
      <c r="H87" s="65" t="str">
        <f>IF($H$27="","",$H$27)</f>
        <v/>
      </c>
      <c r="I87" s="66" t="str">
        <f t="shared" ca="1" si="3"/>
        <v/>
      </c>
      <c r="Q87" s="110" t="s">
        <v>89</v>
      </c>
      <c r="S87" s="110" t="s">
        <v>98</v>
      </c>
    </row>
    <row r="88" spans="1:19" ht="13.5" customHeight="1">
      <c r="A88" s="64">
        <f>$A$28</f>
        <v>121</v>
      </c>
      <c r="B88" s="93" t="str">
        <f>IF(B$28="","",B$28)</f>
        <v/>
      </c>
      <c r="C88" s="65" t="str">
        <f>IF($C$28="","",$C$28)</f>
        <v/>
      </c>
      <c r="D88" s="66" t="str">
        <f t="shared" ca="1" si="2"/>
        <v/>
      </c>
      <c r="E88" s="67"/>
      <c r="F88" s="64">
        <f>$F$28</f>
        <v>221</v>
      </c>
      <c r="G88" s="93" t="str">
        <f>IF(G$28="","",G$28)</f>
        <v/>
      </c>
      <c r="H88" s="65" t="str">
        <f>IF($H$28="","",$H$28)</f>
        <v/>
      </c>
      <c r="I88" s="66" t="str">
        <f t="shared" ca="1" si="3"/>
        <v/>
      </c>
      <c r="Q88" s="112" t="str">
        <f>IF(Q$28="","",Q$28)</f>
        <v/>
      </c>
      <c r="S88" s="112" t="str">
        <f>IF(S$28="","",S$28)</f>
        <v/>
      </c>
    </row>
    <row r="89" spans="1:19" ht="13.5" customHeight="1" thickBot="1">
      <c r="A89" s="64">
        <f>$A$29</f>
        <v>122</v>
      </c>
      <c r="B89" s="93" t="str">
        <f>IF(B$29="","",B$29)</f>
        <v/>
      </c>
      <c r="C89" s="65" t="str">
        <f>IF($C$29="","",$C$29)</f>
        <v/>
      </c>
      <c r="D89" s="66" t="str">
        <f t="shared" ca="1" si="2"/>
        <v/>
      </c>
      <c r="E89" s="67"/>
      <c r="F89" s="64">
        <f>$F$29</f>
        <v>222</v>
      </c>
      <c r="G89" s="93" t="str">
        <f>IF(G$29="","",G$29)</f>
        <v/>
      </c>
      <c r="H89" s="65" t="str">
        <f>IF($H$29="","",$H$29)</f>
        <v/>
      </c>
      <c r="I89" s="66" t="str">
        <f t="shared" ca="1" si="3"/>
        <v/>
      </c>
      <c r="Q89" s="105">
        <f>SUMIF($B$67:$B$117,"E",$D$67:$D$117)</f>
        <v>0</v>
      </c>
      <c r="R89" s="104">
        <f>Q89+S89</f>
        <v>0</v>
      </c>
      <c r="S89" s="106">
        <f>SUMIF($G$67:$G$117,"E",$I$67:$I$117)</f>
        <v>0</v>
      </c>
    </row>
    <row r="90" spans="1:19" ht="13.5" customHeight="1">
      <c r="A90" s="64">
        <f>$A$30</f>
        <v>123</v>
      </c>
      <c r="B90" s="93" t="str">
        <f>IF(B$30="","",B$30)</f>
        <v/>
      </c>
      <c r="C90" s="65" t="str">
        <f>IF($C$30="","",$C$30)</f>
        <v/>
      </c>
      <c r="D90" s="66" t="str">
        <f t="shared" ca="1" si="2"/>
        <v/>
      </c>
      <c r="E90" s="67"/>
      <c r="F90" s="64">
        <f>$F$30</f>
        <v>223</v>
      </c>
      <c r="G90" s="93" t="str">
        <f>IF(G$30="","",G$30)</f>
        <v/>
      </c>
      <c r="H90" s="65" t="str">
        <f>IF($H$30="","",$H$30)</f>
        <v/>
      </c>
      <c r="I90" s="66" t="str">
        <f t="shared" ca="1" si="3"/>
        <v/>
      </c>
    </row>
    <row r="91" spans="1:19" ht="13.5" customHeight="1" thickBot="1">
      <c r="A91" s="64">
        <f>$A$31</f>
        <v>124</v>
      </c>
      <c r="B91" s="93" t="str">
        <f>IF(B$31="","",B$31)</f>
        <v/>
      </c>
      <c r="C91" s="65" t="str">
        <f>IF($C$31="","",$C$31)</f>
        <v/>
      </c>
      <c r="D91" s="66" t="str">
        <f t="shared" ca="1" si="2"/>
        <v/>
      </c>
      <c r="E91" s="67"/>
      <c r="F91" s="64">
        <f>$F$31</f>
        <v>224</v>
      </c>
      <c r="G91" s="93" t="str">
        <f>IF(G$31="","",G$31)</f>
        <v/>
      </c>
      <c r="H91" s="65" t="str">
        <f>IF($H$31="","",$H$31)</f>
        <v/>
      </c>
      <c r="I91" s="66" t="str">
        <f t="shared" ca="1" si="3"/>
        <v/>
      </c>
    </row>
    <row r="92" spans="1:19" ht="13.5" customHeight="1">
      <c r="A92" s="64">
        <f>$A$32</f>
        <v>125</v>
      </c>
      <c r="B92" s="154" t="str">
        <f>IF(B$32="","",B$32)</f>
        <v>B</v>
      </c>
      <c r="C92" s="65" t="str">
        <f>IF($C$32="","",$C$32)</f>
        <v>Lohn Nebenerwerb</v>
      </c>
      <c r="D92" s="66">
        <f t="shared" ca="1" si="2"/>
        <v>0</v>
      </c>
      <c r="E92" s="67"/>
      <c r="F92" s="64">
        <f>$F$32</f>
        <v>225</v>
      </c>
      <c r="G92" s="154" t="str">
        <f>IF(G$32="","",G$32)</f>
        <v>B</v>
      </c>
      <c r="H92" s="65" t="str">
        <f>IF($H$32="","",$H$32)</f>
        <v>Nahrung, Kleider, Körperpflege</v>
      </c>
      <c r="I92" s="66">
        <f t="shared" ca="1" si="3"/>
        <v>0</v>
      </c>
      <c r="Q92" s="98" t="s">
        <v>90</v>
      </c>
      <c r="S92" s="98" t="s">
        <v>99</v>
      </c>
    </row>
    <row r="93" spans="1:19" ht="13.5" customHeight="1">
      <c r="A93" s="64">
        <f>$A$33</f>
        <v>126</v>
      </c>
      <c r="B93" s="93" t="str">
        <f>IF(B$33="","",B$33)</f>
        <v/>
      </c>
      <c r="C93" s="65" t="str">
        <f>IF($C$33="","",$C$33)</f>
        <v/>
      </c>
      <c r="D93" s="66" t="str">
        <f t="shared" ca="1" si="2"/>
        <v/>
      </c>
      <c r="E93" s="67"/>
      <c r="F93" s="64">
        <f>$F$33</f>
        <v>226</v>
      </c>
      <c r="G93" s="154" t="str">
        <f>IF(G$33="","",G$33)</f>
        <v>B</v>
      </c>
      <c r="H93" s="65" t="str">
        <f>IF($H$33="","",$H$33)</f>
        <v>Autokosten</v>
      </c>
      <c r="I93" s="66">
        <f t="shared" ca="1" si="3"/>
        <v>0</v>
      </c>
      <c r="Q93" s="112" t="str">
        <f>IF(Q$33="","",Q$33)</f>
        <v/>
      </c>
      <c r="S93" s="112" t="str">
        <f>IF(S$33="","",S$33)</f>
        <v/>
      </c>
    </row>
    <row r="94" spans="1:19" ht="13.5" customHeight="1" thickBot="1">
      <c r="A94" s="64">
        <f>$A$34</f>
        <v>127</v>
      </c>
      <c r="B94" s="93" t="str">
        <f>IF(B$34="","",B$34)</f>
        <v/>
      </c>
      <c r="C94" s="65" t="str">
        <f>IF($C$34="","",$C$34)</f>
        <v/>
      </c>
      <c r="D94" s="66" t="str">
        <f t="shared" ca="1" si="2"/>
        <v/>
      </c>
      <c r="E94" s="67"/>
      <c r="F94" s="64">
        <f>$F$34</f>
        <v>227</v>
      </c>
      <c r="G94" s="154" t="str">
        <f>IF(G$34="","",G$34)</f>
        <v>B</v>
      </c>
      <c r="H94" s="65" t="str">
        <f>IF($H$34="","",$H$34)</f>
        <v>Gesundheit, Krankenkasse, Zahnarzt</v>
      </c>
      <c r="I94" s="66">
        <f t="shared" ca="1" si="3"/>
        <v>0</v>
      </c>
      <c r="Q94" s="105">
        <f>SUMIF($B$67:$B$117,"F",$D$67:$D$117)</f>
        <v>0</v>
      </c>
      <c r="R94" s="104">
        <f>Q94+S94</f>
        <v>0</v>
      </c>
      <c r="S94" s="106">
        <f>SUMIF($G$67:$G$117,"F",$I$67:$I$117)</f>
        <v>0</v>
      </c>
    </row>
    <row r="95" spans="1:19" ht="13.5" customHeight="1">
      <c r="A95" s="64">
        <f>$A$35</f>
        <v>128</v>
      </c>
      <c r="B95" s="93" t="str">
        <f>IF(B$35="","",B$35)</f>
        <v/>
      </c>
      <c r="C95" s="65" t="str">
        <f>IF($C$35="","",$C$35)</f>
        <v/>
      </c>
      <c r="D95" s="66" t="str">
        <f t="shared" ca="1" si="2"/>
        <v/>
      </c>
      <c r="E95" s="67"/>
      <c r="F95" s="64">
        <f>$F$35</f>
        <v>228</v>
      </c>
      <c r="G95" s="154" t="str">
        <f>IF(G$35="","",G$35)</f>
        <v>B</v>
      </c>
      <c r="H95" s="65" t="str">
        <f>IF($H$35="","",$H$35)</f>
        <v>Versicherungen allgemein</v>
      </c>
      <c r="I95" s="66">
        <f t="shared" ca="1" si="3"/>
        <v>0</v>
      </c>
    </row>
    <row r="96" spans="1:19" ht="13.5" customHeight="1" thickBot="1">
      <c r="A96" s="64">
        <f>$A$36</f>
        <v>129</v>
      </c>
      <c r="B96" s="93" t="str">
        <f>IF(B$36="","",B$36)</f>
        <v/>
      </c>
      <c r="C96" s="65" t="str">
        <f>IF($C$36="","",$C$36)</f>
        <v/>
      </c>
      <c r="D96" s="66" t="str">
        <f t="shared" ca="1" si="2"/>
        <v/>
      </c>
      <c r="E96" s="67"/>
      <c r="F96" s="64">
        <f>$F$36</f>
        <v>229</v>
      </c>
      <c r="G96" s="154" t="str">
        <f>IF(G$36="","",G$36)</f>
        <v>B</v>
      </c>
      <c r="H96" s="65" t="str">
        <f>IF($H$36="","",$H$36)</f>
        <v>Büro, Computer, Fotos</v>
      </c>
      <c r="I96" s="66">
        <f t="shared" ca="1" si="3"/>
        <v>0</v>
      </c>
    </row>
    <row r="97" spans="1:19" ht="13.5" customHeight="1">
      <c r="A97" s="64">
        <f>$A$37</f>
        <v>130</v>
      </c>
      <c r="B97" s="93" t="str">
        <f>IF(B$37="","",B$37)</f>
        <v/>
      </c>
      <c r="C97" s="65" t="str">
        <f>IF($C$37="","",$C$37)</f>
        <v/>
      </c>
      <c r="D97" s="66" t="str">
        <f t="shared" ca="1" si="2"/>
        <v/>
      </c>
      <c r="E97" s="67"/>
      <c r="F97" s="64">
        <f>$F$37</f>
        <v>230</v>
      </c>
      <c r="G97" s="154" t="str">
        <f>IF(G$37="","",G$37)</f>
        <v>B</v>
      </c>
      <c r="H97" s="65" t="str">
        <f>IF($H$37="","",$H$37)</f>
        <v>Ferien, Ausflüge</v>
      </c>
      <c r="I97" s="66">
        <f t="shared" ca="1" si="3"/>
        <v>0</v>
      </c>
      <c r="Q97" s="99" t="s">
        <v>91</v>
      </c>
      <c r="S97" s="99" t="s">
        <v>100</v>
      </c>
    </row>
    <row r="98" spans="1:19" ht="13.5" customHeight="1">
      <c r="A98" s="64">
        <f>$A$38</f>
        <v>131</v>
      </c>
      <c r="B98" s="93" t="str">
        <f>IF(B$38="","",B$38)</f>
        <v/>
      </c>
      <c r="C98" s="65" t="str">
        <f>IF($C$38="","",$C$38)</f>
        <v/>
      </c>
      <c r="D98" s="66" t="str">
        <f t="shared" ca="1" si="2"/>
        <v/>
      </c>
      <c r="E98" s="67"/>
      <c r="F98" s="64">
        <f>$F$38</f>
        <v>231</v>
      </c>
      <c r="G98" s="154" t="str">
        <f>IF(G$38="","",G$38)</f>
        <v>B</v>
      </c>
      <c r="H98" s="65" t="str">
        <f>IF($H$38="","",$H$38)</f>
        <v>Freizeit, Vergnügen, Unterhaltung</v>
      </c>
      <c r="I98" s="66">
        <f t="shared" ca="1" si="3"/>
        <v>0</v>
      </c>
      <c r="Q98" s="112" t="str">
        <f>IF(Q$38="","",Q$38)</f>
        <v/>
      </c>
      <c r="S98" s="112" t="str">
        <f>IF(S$38="","",S$38)</f>
        <v/>
      </c>
    </row>
    <row r="99" spans="1:19" ht="13.5" customHeight="1" thickBot="1">
      <c r="A99" s="64">
        <f>$A$39</f>
        <v>132</v>
      </c>
      <c r="B99" s="154" t="str">
        <f>IF(B$39="","",B$39)</f>
        <v>B</v>
      </c>
      <c r="C99" s="65" t="str">
        <f>IF($C$39="","",$C$39)</f>
        <v>Feuerwehrsold</v>
      </c>
      <c r="D99" s="66">
        <f t="shared" ca="1" si="2"/>
        <v>0</v>
      </c>
      <c r="E99" s="67"/>
      <c r="F99" s="64">
        <f>$F$39</f>
        <v>232</v>
      </c>
      <c r="G99" s="154" t="str">
        <f>IF(G$39="","",G$39)</f>
        <v>B</v>
      </c>
      <c r="H99" s="65" t="str">
        <f>IF($H$39="","",$H$39)</f>
        <v>Telefon</v>
      </c>
      <c r="I99" s="66">
        <f t="shared" ca="1" si="3"/>
        <v>0</v>
      </c>
      <c r="Q99" s="105">
        <f>SUMIF($B$67:$B$117,"G",$D$67:$D$117)</f>
        <v>0</v>
      </c>
      <c r="R99" s="104">
        <f>Q99+S99</f>
        <v>0</v>
      </c>
      <c r="S99" s="106">
        <f>SUMIF($G$67:$G$117,"G",$I$67:$I$117)</f>
        <v>0</v>
      </c>
    </row>
    <row r="100" spans="1:19" ht="13.5" customHeight="1">
      <c r="A100" s="64">
        <f>$A$40</f>
        <v>133</v>
      </c>
      <c r="B100" s="93" t="str">
        <f>IF(B$40="","",B$40)</f>
        <v/>
      </c>
      <c r="C100" s="65" t="str">
        <f>IF($C$40="","",$C$40)</f>
        <v/>
      </c>
      <c r="D100" s="66" t="str">
        <f t="shared" ca="1" si="2"/>
        <v/>
      </c>
      <c r="E100" s="67"/>
      <c r="F100" s="64">
        <f>$F$40</f>
        <v>233</v>
      </c>
      <c r="G100" s="154" t="str">
        <f>IF(G$40="","",G$40)</f>
        <v>B</v>
      </c>
      <c r="H100" s="65" t="str">
        <f>IF($H$40="","",$H$40)</f>
        <v>Öffentlicher Verkehr und Velo</v>
      </c>
      <c r="I100" s="66">
        <f t="shared" ca="1" si="3"/>
        <v>0</v>
      </c>
    </row>
    <row r="101" spans="1:19" ht="13.5" customHeight="1" thickBot="1">
      <c r="A101" s="64">
        <f>$A$41</f>
        <v>134</v>
      </c>
      <c r="B101" s="93" t="str">
        <f>IF(B$41="","",B$41)</f>
        <v/>
      </c>
      <c r="C101" s="65" t="str">
        <f>IF($C$41="","",$C$41)</f>
        <v/>
      </c>
      <c r="D101" s="66" t="str">
        <f t="shared" ca="1" si="2"/>
        <v/>
      </c>
      <c r="E101" s="67"/>
      <c r="F101" s="64">
        <f>$F$41</f>
        <v>234</v>
      </c>
      <c r="G101" s="154" t="str">
        <f>IF(G$41="","",G$41)</f>
        <v>B</v>
      </c>
      <c r="H101" s="65" t="str">
        <f>IF($H$41="","",$H$41)</f>
        <v>Möbel, Wohnungseinrichtung</v>
      </c>
      <c r="I101" s="66">
        <f t="shared" ca="1" si="3"/>
        <v>0</v>
      </c>
    </row>
    <row r="102" spans="1:19" ht="13.5" customHeight="1">
      <c r="A102" s="64">
        <f>$A$42</f>
        <v>135</v>
      </c>
      <c r="B102" s="93" t="str">
        <f>IF(B$42="","",B$42)</f>
        <v/>
      </c>
      <c r="C102" s="65" t="str">
        <f>IF($C$42="","",$C$42)</f>
        <v/>
      </c>
      <c r="D102" s="66" t="str">
        <f t="shared" ca="1" si="2"/>
        <v/>
      </c>
      <c r="E102" s="67"/>
      <c r="F102" s="64">
        <f>$F$42</f>
        <v>235</v>
      </c>
      <c r="G102" s="154" t="str">
        <f>IF(G$42="","",G$42)</f>
        <v>B</v>
      </c>
      <c r="H102" s="65" t="str">
        <f>IF($H$42="","",$H$42)</f>
        <v>Kosten IT Consulting / Webdesign</v>
      </c>
      <c r="I102" s="66">
        <f t="shared" ca="1" si="3"/>
        <v>0</v>
      </c>
      <c r="Q102" s="100" t="s">
        <v>92</v>
      </c>
      <c r="S102" s="100" t="s">
        <v>101</v>
      </c>
    </row>
    <row r="103" spans="1:19" ht="13.5" customHeight="1">
      <c r="A103" s="64">
        <f>$A$43</f>
        <v>136</v>
      </c>
      <c r="B103" s="93" t="str">
        <f>IF(B$43="","",B$43)</f>
        <v/>
      </c>
      <c r="C103" s="65" t="str">
        <f>IF($C$43="","",$C$43)</f>
        <v/>
      </c>
      <c r="D103" s="66" t="str">
        <f t="shared" ca="1" si="2"/>
        <v/>
      </c>
      <c r="E103" s="67"/>
      <c r="F103" s="64">
        <f>$F$43</f>
        <v>236</v>
      </c>
      <c r="G103" s="154" t="str">
        <f>IF(G$43="","",G$43)</f>
        <v>B</v>
      </c>
      <c r="H103" s="65" t="str">
        <f>IF($H$43="","",$H$43)</f>
        <v>Schule und Bildung Kinder</v>
      </c>
      <c r="I103" s="66">
        <f t="shared" ca="1" si="3"/>
        <v>0</v>
      </c>
      <c r="Q103" s="112" t="str">
        <f>IF(Q$43="","",Q$43)</f>
        <v/>
      </c>
      <c r="S103" s="112" t="str">
        <f>IF(S$43="","",S$43)</f>
        <v/>
      </c>
    </row>
    <row r="104" spans="1:19" ht="13.5" customHeight="1" thickBot="1">
      <c r="A104" s="64">
        <f>$A$44</f>
        <v>137</v>
      </c>
      <c r="B104" s="93" t="str">
        <f>IF(B$44="","",B$44)</f>
        <v/>
      </c>
      <c r="C104" s="65" t="str">
        <f>IF($C$44="","",$C$44)</f>
        <v/>
      </c>
      <c r="D104" s="66" t="str">
        <f t="shared" ca="1" si="2"/>
        <v/>
      </c>
      <c r="E104" s="67"/>
      <c r="F104" s="64">
        <f>$F$44</f>
        <v>237</v>
      </c>
      <c r="G104" s="154" t="str">
        <f>IF(G$44="","",G$44)</f>
        <v>B</v>
      </c>
      <c r="H104" s="65" t="str">
        <f>IF($H$44="","",$H$44)</f>
        <v>Org. Freizeitaktivitäten der Kinder</v>
      </c>
      <c r="I104" s="66">
        <f t="shared" ca="1" si="3"/>
        <v>0</v>
      </c>
      <c r="Q104" s="105">
        <f>SUMIF($B$67:$B$117,"H",$D$67:$D$117)</f>
        <v>0</v>
      </c>
      <c r="R104" s="104">
        <f>Q104+S104</f>
        <v>0</v>
      </c>
      <c r="S104" s="106">
        <f>SUMIF($G$67:$G$117,"H",$I$67:$I$117)</f>
        <v>0</v>
      </c>
    </row>
    <row r="105" spans="1:19" ht="13.5" customHeight="1">
      <c r="A105" s="64">
        <f>$A$45</f>
        <v>138</v>
      </c>
      <c r="B105" s="93" t="str">
        <f>IF(B$45="","",B$45)</f>
        <v/>
      </c>
      <c r="C105" s="65" t="str">
        <f>IF($C$45="","",$C$45)</f>
        <v/>
      </c>
      <c r="D105" s="66" t="str">
        <f t="shared" ca="1" si="2"/>
        <v/>
      </c>
      <c r="E105" s="67"/>
      <c r="F105" s="64">
        <f>$F$45</f>
        <v>238</v>
      </c>
      <c r="G105" s="93" t="str">
        <f>IF(G$45="","",G$45)</f>
        <v/>
      </c>
      <c r="H105" s="65" t="str">
        <f>IF($H$45="","",$H$45)</f>
        <v/>
      </c>
      <c r="I105" s="66" t="str">
        <f t="shared" ca="1" si="3"/>
        <v/>
      </c>
    </row>
    <row r="106" spans="1:19" ht="13.5" customHeight="1" thickBot="1">
      <c r="A106" s="64">
        <f>$A$46</f>
        <v>139</v>
      </c>
      <c r="B106" s="93" t="str">
        <f>IF(B$46="","",B$46)</f>
        <v/>
      </c>
      <c r="C106" s="65" t="str">
        <f>IF($C$46="","",$C$46)</f>
        <v/>
      </c>
      <c r="D106" s="66" t="str">
        <f t="shared" ca="1" si="2"/>
        <v/>
      </c>
      <c r="E106" s="67"/>
      <c r="F106" s="64">
        <f>$F$46</f>
        <v>239</v>
      </c>
      <c r="G106" s="154" t="str">
        <f>IF(G$46="","",G$46)</f>
        <v>B</v>
      </c>
      <c r="H106" s="65" t="str">
        <f>IF($H$46="","",$H$46)</f>
        <v>Wohltätige Spenden</v>
      </c>
      <c r="I106" s="66">
        <f t="shared" ca="1" si="3"/>
        <v>0</v>
      </c>
    </row>
    <row r="107" spans="1:19" ht="13.5" customHeight="1">
      <c r="A107" s="64">
        <f>$A$47</f>
        <v>140</v>
      </c>
      <c r="B107" s="93" t="str">
        <f>IF(B$47="","",B$47)</f>
        <v/>
      </c>
      <c r="C107" s="65" t="str">
        <f>IF($C$47="","",$C$47)</f>
        <v/>
      </c>
      <c r="D107" s="66" t="str">
        <f t="shared" ca="1" si="2"/>
        <v/>
      </c>
      <c r="E107" s="67"/>
      <c r="F107" s="64">
        <f>$F$47</f>
        <v>240</v>
      </c>
      <c r="G107" s="154" t="str">
        <f>IF(G$47="","",G$47)</f>
        <v>B</v>
      </c>
      <c r="H107" s="65" t="str">
        <f>IF($H$47="","",$H$47)</f>
        <v>Vorsorgesparen 3a / PK Einkauf</v>
      </c>
      <c r="I107" s="66">
        <f t="shared" ca="1" si="3"/>
        <v>0</v>
      </c>
      <c r="Q107" s="101" t="s">
        <v>93</v>
      </c>
      <c r="S107" s="101" t="s">
        <v>102</v>
      </c>
    </row>
    <row r="108" spans="1:19" ht="13.5" customHeight="1">
      <c r="A108" s="64">
        <f>$A$48</f>
        <v>141</v>
      </c>
      <c r="B108" s="93" t="str">
        <f>IF(B$48="","",B$48)</f>
        <v/>
      </c>
      <c r="C108" s="65" t="str">
        <f>IF($C$48="","",$C$48)</f>
        <v/>
      </c>
      <c r="D108" s="66" t="str">
        <f t="shared" ca="1" si="2"/>
        <v/>
      </c>
      <c r="E108" s="67"/>
      <c r="F108" s="64">
        <f>$F$48</f>
        <v>241</v>
      </c>
      <c r="G108" s="93" t="str">
        <f>IF(G$48="","",G$48)</f>
        <v/>
      </c>
      <c r="H108" s="65" t="str">
        <f>IF($H$48="","",$H$48)</f>
        <v/>
      </c>
      <c r="I108" s="66" t="str">
        <f t="shared" ca="1" si="3"/>
        <v/>
      </c>
      <c r="Q108" s="112" t="str">
        <f>IF(Q$48="","",Q$48)</f>
        <v/>
      </c>
      <c r="S108" s="112" t="str">
        <f>IF(S$48="","",S$48)</f>
        <v/>
      </c>
    </row>
    <row r="109" spans="1:19" ht="13.5" customHeight="1" thickBot="1">
      <c r="A109" s="64">
        <f>$A$49</f>
        <v>142</v>
      </c>
      <c r="B109" s="93" t="str">
        <f>IF(B$49="","",B$49)</f>
        <v/>
      </c>
      <c r="C109" s="65" t="str">
        <f>IF($C$49="","",$C$49)</f>
        <v/>
      </c>
      <c r="D109" s="66" t="str">
        <f t="shared" ca="1" si="2"/>
        <v/>
      </c>
      <c r="E109" s="67"/>
      <c r="F109" s="64">
        <f>$F$49</f>
        <v>242</v>
      </c>
      <c r="G109" s="93" t="str">
        <f>IF(G$49="","",G$49)</f>
        <v/>
      </c>
      <c r="H109" s="65" t="str">
        <f>IF($H$49="","",$H$49)</f>
        <v/>
      </c>
      <c r="I109" s="66" t="str">
        <f t="shared" ca="1" si="3"/>
        <v/>
      </c>
      <c r="Q109" s="105">
        <f>SUMIF($B$67:$B$117,"I",$D$67:$D$117)</f>
        <v>0</v>
      </c>
      <c r="R109" s="104">
        <f>Q109+S109</f>
        <v>0</v>
      </c>
      <c r="S109" s="106">
        <f>SUMIF($G$67:$G$117,"I",$I$67:$I$117)</f>
        <v>0</v>
      </c>
    </row>
    <row r="110" spans="1:19" ht="13.5" customHeight="1">
      <c r="A110" s="64">
        <f>$A$50</f>
        <v>143</v>
      </c>
      <c r="B110" s="93" t="str">
        <f>IF(B$50="","",B$50)</f>
        <v/>
      </c>
      <c r="C110" s="65" t="str">
        <f>IF($C$50="","",$C$50)</f>
        <v/>
      </c>
      <c r="D110" s="66" t="str">
        <f t="shared" ca="1" si="2"/>
        <v/>
      </c>
      <c r="E110" s="67"/>
      <c r="F110" s="64">
        <f>$F$50</f>
        <v>243</v>
      </c>
      <c r="G110" s="154" t="str">
        <f>IF(G$50="","",G$50)</f>
        <v>B</v>
      </c>
      <c r="H110" s="65" t="str">
        <f>IF($H$50="","",$H$50)</f>
        <v>Wasser</v>
      </c>
      <c r="I110" s="66">
        <f t="shared" ca="1" si="3"/>
        <v>0</v>
      </c>
    </row>
    <row r="111" spans="1:19" ht="13.5" customHeight="1" thickBot="1">
      <c r="A111" s="64">
        <f>$A$51</f>
        <v>144</v>
      </c>
      <c r="B111" s="93" t="str">
        <f>IF(B$51="","",B$51)</f>
        <v/>
      </c>
      <c r="C111" s="65" t="str">
        <f>IF($C$51="","",$C$51)</f>
        <v/>
      </c>
      <c r="D111" s="66" t="str">
        <f t="shared" ca="1" si="2"/>
        <v/>
      </c>
      <c r="E111" s="67"/>
      <c r="F111" s="64">
        <f>$F$51</f>
        <v>244</v>
      </c>
      <c r="G111" s="154" t="str">
        <f>IF(G$51="","",G$51)</f>
        <v>B</v>
      </c>
      <c r="H111" s="65" t="str">
        <f>IF($H$51="","",$H$51)</f>
        <v>Strom</v>
      </c>
      <c r="I111" s="66">
        <f t="shared" ca="1" si="3"/>
        <v>0</v>
      </c>
    </row>
    <row r="112" spans="1:19" ht="13.5" customHeight="1">
      <c r="A112" s="64">
        <f>$A$52</f>
        <v>145</v>
      </c>
      <c r="B112" s="93" t="str">
        <f>IF(B$52="","",B$52)</f>
        <v/>
      </c>
      <c r="C112" s="65" t="str">
        <f>IF($C$52="","",$C$52)</f>
        <v/>
      </c>
      <c r="D112" s="66" t="str">
        <f t="shared" ca="1" si="2"/>
        <v/>
      </c>
      <c r="E112" s="67"/>
      <c r="F112" s="64">
        <f>$F$52</f>
        <v>245</v>
      </c>
      <c r="G112" s="154" t="str">
        <f>IF(G$52="","",G$52)</f>
        <v>B</v>
      </c>
      <c r="H112" s="65" t="str">
        <f>IF($H$52="","",$H$52)</f>
        <v>Geschenke</v>
      </c>
      <c r="I112" s="66">
        <f t="shared" ca="1" si="3"/>
        <v>0</v>
      </c>
      <c r="Q112" s="102" t="s">
        <v>94</v>
      </c>
      <c r="S112" s="102" t="s">
        <v>103</v>
      </c>
    </row>
    <row r="113" spans="1:19" ht="13.5" customHeight="1">
      <c r="A113" s="64">
        <f>$A$53</f>
        <v>146</v>
      </c>
      <c r="B113" s="93" t="str">
        <f>IF(B$53="","",B$53)</f>
        <v/>
      </c>
      <c r="C113" s="65" t="str">
        <f>IF($C$53="","",$C$53)</f>
        <v/>
      </c>
      <c r="D113" s="66" t="str">
        <f t="shared" ca="1" si="2"/>
        <v/>
      </c>
      <c r="E113" s="67"/>
      <c r="F113" s="64">
        <f>$F$53</f>
        <v>246</v>
      </c>
      <c r="G113" s="154" t="str">
        <f>IF(G$53="","",G$53)</f>
        <v>B</v>
      </c>
      <c r="H113" s="65" t="str">
        <f>IF($H$53="","",$H$53)</f>
        <v>Erwachsenenbildung</v>
      </c>
      <c r="I113" s="66">
        <f t="shared" ca="1" si="3"/>
        <v>0</v>
      </c>
      <c r="Q113" s="112" t="str">
        <f>IF(Q$53="","",Q$53)</f>
        <v/>
      </c>
      <c r="S113" s="112" t="str">
        <f>IF(S$53="","",S$53)</f>
        <v/>
      </c>
    </row>
    <row r="114" spans="1:19" ht="13.5" customHeight="1" thickBot="1">
      <c r="A114" s="64">
        <f>$A$54</f>
        <v>147</v>
      </c>
      <c r="B114" s="154" t="str">
        <f>IF(B$54="","",B$54)</f>
        <v>B</v>
      </c>
      <c r="C114" s="65" t="str">
        <f>IF($C$54="","",$C$54)</f>
        <v>Diverse Privateinnahmen</v>
      </c>
      <c r="D114" s="66">
        <f t="shared" ca="1" si="2"/>
        <v>0</v>
      </c>
      <c r="E114" s="67"/>
      <c r="F114" s="64">
        <f>$F$54</f>
        <v>247</v>
      </c>
      <c r="G114" s="154" t="str">
        <f>IF(G$54="","",G$54)</f>
        <v>B</v>
      </c>
      <c r="H114" s="65" t="str">
        <f>IF($H$54="","",$H$54)</f>
        <v>Diverse Privatausgaben</v>
      </c>
      <c r="I114" s="66">
        <f t="shared" ca="1" si="3"/>
        <v>0</v>
      </c>
      <c r="Q114" s="105">
        <f>SUMIF($B$67:$B$117,"K",$D$67:$D$117)</f>
        <v>0</v>
      </c>
      <c r="R114" s="104">
        <f>Q114+S114</f>
        <v>0</v>
      </c>
      <c r="S114" s="106">
        <f>SUMIF($G$67:$G$117,"K",$I$67:$I$117)</f>
        <v>0</v>
      </c>
    </row>
    <row r="115" spans="1:19" ht="13.5" customHeight="1">
      <c r="A115" s="64">
        <f>$A$55</f>
        <v>148</v>
      </c>
      <c r="B115" s="93" t="str">
        <f>IF(B$55="","",B$55)</f>
        <v/>
      </c>
      <c r="C115" s="65" t="str">
        <f>IF($C$55="","",$C$55)</f>
        <v/>
      </c>
      <c r="D115" s="66" t="str">
        <f t="shared" ca="1" si="2"/>
        <v/>
      </c>
      <c r="E115" s="67"/>
      <c r="F115" s="64">
        <f>$F$55</f>
        <v>248</v>
      </c>
      <c r="G115" s="154" t="str">
        <f>IF(G$55="","",G$55)</f>
        <v>B</v>
      </c>
      <c r="H115" s="65" t="str">
        <f>IF($H$55="","",$H$55)</f>
        <v>Private Vereinsbeiträge</v>
      </c>
      <c r="I115" s="66">
        <f t="shared" ca="1" si="3"/>
        <v>0</v>
      </c>
    </row>
    <row r="116" spans="1:19" ht="13.5" customHeight="1" thickBot="1">
      <c r="A116" s="64">
        <f>$A$56</f>
        <v>149</v>
      </c>
      <c r="B116" s="93" t="str">
        <f>IF(B$56="","",B$56)</f>
        <v/>
      </c>
      <c r="C116" s="65" t="str">
        <f>IF($C$56="","",$C$56)</f>
        <v/>
      </c>
      <c r="D116" s="66" t="str">
        <f t="shared" ca="1" si="2"/>
        <v/>
      </c>
      <c r="E116" s="67"/>
      <c r="F116" s="64">
        <f>$F$56</f>
        <v>249</v>
      </c>
      <c r="G116" s="154" t="str">
        <f>IF(G$56="","",G$56)</f>
        <v>B</v>
      </c>
      <c r="H116" s="65" t="str">
        <f>IF($H$56="","",$H$56)</f>
        <v>Spesen Vermögensverwaltung</v>
      </c>
      <c r="I116" s="66">
        <f t="shared" ca="1" si="3"/>
        <v>0</v>
      </c>
    </row>
    <row r="117" spans="1:19" ht="13.5" customHeight="1" thickBot="1">
      <c r="A117" s="64">
        <f>$A$57</f>
        <v>150</v>
      </c>
      <c r="B117" s="154" t="str">
        <f>IF(B$57="","",B$57)</f>
        <v>B</v>
      </c>
      <c r="C117" s="65" t="str">
        <f>IF($C$57="","",$C$57)</f>
        <v>Zinsen, Zinssteuererstattungen</v>
      </c>
      <c r="D117" s="66">
        <f t="shared" ca="1" si="2"/>
        <v>0</v>
      </c>
      <c r="E117" s="67"/>
      <c r="F117" s="64">
        <f>$F$57</f>
        <v>250</v>
      </c>
      <c r="G117" s="154" t="str">
        <f>IF(G$57="","",G$57)</f>
        <v>B</v>
      </c>
      <c r="H117" s="65" t="str">
        <f>IF($H$57="","",$H$57)</f>
        <v>Steuern</v>
      </c>
      <c r="I117" s="66">
        <f t="shared" ca="1" si="3"/>
        <v>0</v>
      </c>
      <c r="L117" s="119">
        <f ca="1">L69+L74+L79+L84+L89+L94+L99+L104+L109+L114</f>
        <v>0</v>
      </c>
      <c r="M117" s="120" t="s">
        <v>111</v>
      </c>
      <c r="N117" s="121">
        <f ca="1">N69+N74+N79+N84+N89+N94+N99+N104+N109+N114</f>
        <v>0</v>
      </c>
      <c r="Q117" s="119">
        <f ca="1">Q69+Q74+Q79+Q84+Q89+Q94+Q99+Q104+Q109+Q114</f>
        <v>0</v>
      </c>
      <c r="R117" s="120" t="s">
        <v>111</v>
      </c>
      <c r="S117" s="121">
        <f ca="1">S69+S74+S79+S84+S89+S94+S99+S104+S109+S114</f>
        <v>0</v>
      </c>
    </row>
    <row r="118" spans="1:19" ht="13.5" customHeight="1" thickTop="1" thickBot="1">
      <c r="A118" s="68" t="s">
        <v>38</v>
      </c>
      <c r="B118" s="91"/>
      <c r="C118" s="69"/>
      <c r="D118" s="70">
        <f ca="1">SUM(D67:D117)</f>
        <v>0</v>
      </c>
      <c r="F118" s="68" t="s">
        <v>39</v>
      </c>
      <c r="G118" s="91"/>
      <c r="H118" s="69"/>
      <c r="I118" s="70">
        <f ca="1">SUM(I67:I117)</f>
        <v>0</v>
      </c>
      <c r="L118" s="117">
        <f ca="1">$D$118</f>
        <v>0</v>
      </c>
      <c r="M118" s="41" t="s">
        <v>110</v>
      </c>
      <c r="N118" s="116">
        <f ca="1">$I$118</f>
        <v>0</v>
      </c>
      <c r="Q118" s="117">
        <f ca="1">$D$118</f>
        <v>0</v>
      </c>
      <c r="R118" s="41" t="s">
        <v>110</v>
      </c>
      <c r="S118" s="116">
        <f ca="1">$I$118</f>
        <v>0</v>
      </c>
    </row>
    <row r="119" spans="1:19" ht="13.5" customHeight="1" thickTop="1">
      <c r="A119" s="71" t="s">
        <v>109</v>
      </c>
      <c r="B119" s="92"/>
      <c r="C119" s="72"/>
      <c r="D119" s="148">
        <f ca="1">Feb.!$E$7</f>
        <v>0</v>
      </c>
      <c r="F119" s="71" t="s">
        <v>109</v>
      </c>
      <c r="G119" s="92"/>
      <c r="H119" s="72"/>
      <c r="I119" s="148">
        <f ca="1">Feb.!$G$7</f>
        <v>0</v>
      </c>
      <c r="L119" s="114">
        <f ca="1">L69+L74+L79+L84+L89+L94+L99+L104+L109+L114+SUMIF($B$67:$B$117,"",$D$67:$D$117)</f>
        <v>0</v>
      </c>
      <c r="M119" s="115" t="s">
        <v>107</v>
      </c>
      <c r="N119" s="114">
        <f ca="1">N69+N74+N79+N84+N89+N94+N99+N104+N109+N114+SUMIF($G$67:$G$117,"",$I$67:$I$117)</f>
        <v>0</v>
      </c>
      <c r="Q119" s="114">
        <f ca="1">Q69+Q74+Q79+Q84+Q89+Q94+Q99+Q104+Q109+Q114+SUMIF($B$67:$B$117,"",$D$67:$D$117)</f>
        <v>0</v>
      </c>
      <c r="R119" s="115" t="s">
        <v>107</v>
      </c>
      <c r="S119" s="114">
        <f ca="1">S69+S74+S79+S84+S89+S94+S99+S104+S109+S114+SUMIF($G$67:$G$117,"",$I$67:$I$117)</f>
        <v>0</v>
      </c>
    </row>
    <row r="120" spans="1:19" ht="13.5" customHeight="1"/>
    <row r="121" spans="1:19" ht="15.95" customHeight="1">
      <c r="A121" s="57" t="str">
        <f>$A$1</f>
        <v>Einnahmen und Ausgaben nach Kategorien</v>
      </c>
      <c r="B121" s="33"/>
      <c r="C121" s="58"/>
      <c r="D121" s="58"/>
      <c r="E121" s="58"/>
      <c r="F121" s="58"/>
      <c r="G121" s="34"/>
      <c r="H121" s="58"/>
      <c r="I121" s="59" t="str">
        <f>CONCATENATE("März ",$A$2)</f>
        <v xml:space="preserve">März </v>
      </c>
      <c r="L121" s="33" t="str">
        <f>CONCATENATE("Kategoriengruppen März ",$A$2)</f>
        <v xml:space="preserve">Kategoriengruppen März </v>
      </c>
      <c r="Q121" s="33" t="str">
        <f>CONCATENATE("Kategoriengruppen März ",$A$2)</f>
        <v xml:space="preserve">Kategoriengruppen März </v>
      </c>
    </row>
    <row r="122" spans="1:19" ht="13.5" customHeight="1"/>
    <row r="123" spans="1:19" ht="13.5" customHeight="1"/>
    <row r="124" spans="1:19" ht="13.5" customHeight="1">
      <c r="A124" s="60" t="s">
        <v>40</v>
      </c>
      <c r="B124" s="39"/>
      <c r="C124" s="60"/>
      <c r="D124" s="60"/>
      <c r="F124" s="60" t="s">
        <v>41</v>
      </c>
      <c r="G124" s="39"/>
      <c r="H124" s="60"/>
      <c r="I124" s="60"/>
      <c r="L124" s="39" t="s">
        <v>84</v>
      </c>
      <c r="M124" s="103" t="s">
        <v>106</v>
      </c>
      <c r="N124" s="39" t="s">
        <v>85</v>
      </c>
      <c r="Q124" s="39" t="s">
        <v>84</v>
      </c>
      <c r="R124" s="103" t="s">
        <v>106</v>
      </c>
      <c r="S124" s="39" t="s">
        <v>85</v>
      </c>
    </row>
    <row r="125" spans="1:19" ht="13.5" customHeight="1" thickBot="1"/>
    <row r="126" spans="1:19" ht="13.5" customHeight="1" thickTop="1" thickBot="1">
      <c r="A126" s="61" t="s">
        <v>24</v>
      </c>
      <c r="B126" s="90" t="s">
        <v>82</v>
      </c>
      <c r="C126" s="62" t="s">
        <v>25</v>
      </c>
      <c r="D126" s="63" t="str">
        <f>$D$6</f>
        <v>CHF</v>
      </c>
      <c r="F126" s="61" t="s">
        <v>24</v>
      </c>
      <c r="G126" s="90" t="s">
        <v>82</v>
      </c>
      <c r="H126" s="62" t="s">
        <v>25</v>
      </c>
      <c r="I126" s="63" t="str">
        <f>$D$6</f>
        <v>CHF</v>
      </c>
    </row>
    <row r="127" spans="1:19" ht="13.5" customHeight="1" thickTop="1">
      <c r="A127" s="64">
        <f>$A$7</f>
        <v>100</v>
      </c>
      <c r="B127" s="153" t="str">
        <f>IF(B$7="","",B$7)</f>
        <v>A</v>
      </c>
      <c r="C127" s="65" t="str">
        <f>IF($C$7="","",$C$7)</f>
        <v>Ladenverkauf</v>
      </c>
      <c r="D127" s="66">
        <f ca="1">IF(C127="","",SUMIF(INDIRECT("März!$D$15:$D$16000"),A127,INDIRECT("März!$E$15:$E$16000")))</f>
        <v>0</v>
      </c>
      <c r="E127" s="67"/>
      <c r="F127" s="64">
        <f>$F$7</f>
        <v>200</v>
      </c>
      <c r="G127" s="153" t="str">
        <f>IF(G$7="","",G$7)</f>
        <v>A</v>
      </c>
      <c r="H127" s="65" t="str">
        <f>IF($H$7="","",$H$7)</f>
        <v>Maschinen und Geräte</v>
      </c>
      <c r="I127" s="66">
        <f ca="1">IF(H127="","",SUMIF(INDIRECT("März!$F$15:$F$16000"),F127,INDIRECT("März!$G$15:$G$16000")))</f>
        <v>0</v>
      </c>
      <c r="L127" s="95" t="s">
        <v>83</v>
      </c>
      <c r="N127" s="95" t="s">
        <v>104</v>
      </c>
      <c r="Q127" s="95" t="s">
        <v>83</v>
      </c>
      <c r="S127" s="95" t="s">
        <v>104</v>
      </c>
    </row>
    <row r="128" spans="1:19" ht="13.5" customHeight="1">
      <c r="A128" s="64">
        <f>$A$8</f>
        <v>101</v>
      </c>
      <c r="B128" s="153" t="str">
        <f>IF(B$8="","",B$8)</f>
        <v>A</v>
      </c>
      <c r="C128" s="65" t="str">
        <f>IF($C$8="","",$C$8)</f>
        <v>Verkauf über Internet</v>
      </c>
      <c r="D128" s="66">
        <f t="shared" ref="D128:D177" ca="1" si="4">IF(C128="","",SUMIF(INDIRECT("März!$D$15:$D$16000"),A128,INDIRECT("März!$E$15:$E$16000")))</f>
        <v>0</v>
      </c>
      <c r="E128" s="67"/>
      <c r="F128" s="64">
        <f>$F$8</f>
        <v>201</v>
      </c>
      <c r="G128" s="153" t="str">
        <f>IF(G$8="","",G$8)</f>
        <v>A</v>
      </c>
      <c r="H128" s="65" t="str">
        <f>IF($H$8="","",$H$8)</f>
        <v>Ladenmiete</v>
      </c>
      <c r="I128" s="66">
        <f t="shared" ref="I128:I177" ca="1" si="5">IF(H128="","",SUMIF(INDIRECT("März!$F$15:$F$16000"),F128,INDIRECT("März!$G$15:$G$16000")))</f>
        <v>0</v>
      </c>
      <c r="L128" s="112" t="str">
        <f>IF(L$8="","",L$8)</f>
        <v>Landwirtschaft</v>
      </c>
      <c r="N128" s="112" t="str">
        <f>IF(N$8="","",N$8)</f>
        <v>Landwirtschaft</v>
      </c>
      <c r="Q128" s="112" t="str">
        <f>IF(Q$8="","",Q$8)</f>
        <v/>
      </c>
      <c r="S128" s="112" t="str">
        <f>IF(S$8="","",S$8)</f>
        <v/>
      </c>
    </row>
    <row r="129" spans="1:19" ht="13.5" customHeight="1" thickBot="1">
      <c r="A129" s="64">
        <f>$A$9</f>
        <v>102</v>
      </c>
      <c r="B129" s="93" t="str">
        <f>IF(B$9="","",B$9)</f>
        <v/>
      </c>
      <c r="C129" s="65" t="str">
        <f>IF($C$9="","",$C$9)</f>
        <v/>
      </c>
      <c r="D129" s="66" t="str">
        <f t="shared" ca="1" si="4"/>
        <v/>
      </c>
      <c r="E129" s="67"/>
      <c r="F129" s="64">
        <f>$F$9</f>
        <v>202</v>
      </c>
      <c r="G129" s="153" t="str">
        <f>IF(G$9="","",G$9)</f>
        <v>A</v>
      </c>
      <c r="H129" s="65" t="str">
        <f>IF($H$9="","",$H$9)</f>
        <v>Werbeausgaben</v>
      </c>
      <c r="I129" s="66">
        <f t="shared" ca="1" si="5"/>
        <v>0</v>
      </c>
      <c r="L129" s="105">
        <f ca="1">SUMIF($B$127:$B$177,"A",$D$127:$D$177)</f>
        <v>0</v>
      </c>
      <c r="M129" s="104">
        <f ca="1">L129+N129</f>
        <v>0</v>
      </c>
      <c r="N129" s="106">
        <f ca="1">SUMIF($G$127:$G$177,"A",$I$127:$I$177)</f>
        <v>0</v>
      </c>
      <c r="Q129" s="105">
        <f ca="1">SUMIF($B$127:$B$177,"A",$D$127:$D$177)</f>
        <v>0</v>
      </c>
      <c r="R129" s="104">
        <f ca="1">Q129+S129</f>
        <v>0</v>
      </c>
      <c r="S129" s="106">
        <f ca="1">SUMIF($G$127:$G$177,"A",$I$127:$I$177)</f>
        <v>0</v>
      </c>
    </row>
    <row r="130" spans="1:19" ht="13.5" customHeight="1">
      <c r="A130" s="64">
        <f>$A$10</f>
        <v>103</v>
      </c>
      <c r="B130" s="93" t="str">
        <f>IF(B$10="","",B$10)</f>
        <v/>
      </c>
      <c r="C130" s="65" t="str">
        <f>IF($C$10="","",$C$10)</f>
        <v/>
      </c>
      <c r="D130" s="66" t="str">
        <f t="shared" ca="1" si="4"/>
        <v/>
      </c>
      <c r="E130" s="67"/>
      <c r="F130" s="64">
        <f>$F$10</f>
        <v>203</v>
      </c>
      <c r="G130" s="153" t="str">
        <f>IF(G$10="","",G$10)</f>
        <v>A</v>
      </c>
      <c r="H130" s="65" t="str">
        <f>IF($H$10="","",$H$10)</f>
        <v>Löhne</v>
      </c>
      <c r="I130" s="66">
        <f t="shared" ca="1" si="5"/>
        <v>0</v>
      </c>
    </row>
    <row r="131" spans="1:19" ht="13.5" customHeight="1" thickBot="1">
      <c r="A131" s="64">
        <f>$A$11</f>
        <v>104</v>
      </c>
      <c r="B131" s="93" t="str">
        <f>IF(B$11="","",B$11)</f>
        <v/>
      </c>
      <c r="C131" s="65" t="str">
        <f>IF($C$11="","",$C$11)</f>
        <v/>
      </c>
      <c r="D131" s="66" t="str">
        <f t="shared" ca="1" si="4"/>
        <v/>
      </c>
      <c r="E131" s="67"/>
      <c r="F131" s="64">
        <f>$F$11</f>
        <v>204</v>
      </c>
      <c r="G131" s="93" t="str">
        <f>IF(G$11="","",G$11)</f>
        <v/>
      </c>
      <c r="H131" s="65" t="str">
        <f>IF($H$11="","",$H$11)</f>
        <v/>
      </c>
      <c r="I131" s="66" t="str">
        <f t="shared" ca="1" si="5"/>
        <v/>
      </c>
    </row>
    <row r="132" spans="1:19" ht="13.5" customHeight="1">
      <c r="A132" s="64">
        <f>$A$12</f>
        <v>105</v>
      </c>
      <c r="B132" s="93" t="str">
        <f>IF(B$12="","",B$12)</f>
        <v/>
      </c>
      <c r="C132" s="65" t="str">
        <f>IF($C$12="","",$C$12)</f>
        <v/>
      </c>
      <c r="D132" s="66" t="str">
        <f t="shared" ca="1" si="4"/>
        <v/>
      </c>
      <c r="E132" s="67"/>
      <c r="F132" s="64">
        <f>$F$12</f>
        <v>205</v>
      </c>
      <c r="G132" s="93" t="str">
        <f>IF(G$12="","",G$12)</f>
        <v/>
      </c>
      <c r="H132" s="65" t="str">
        <f>IF($H$12="","",$H$12)</f>
        <v/>
      </c>
      <c r="I132" s="66" t="str">
        <f t="shared" ca="1" si="5"/>
        <v/>
      </c>
      <c r="L132" s="96" t="s">
        <v>86</v>
      </c>
      <c r="N132" s="96" t="s">
        <v>95</v>
      </c>
      <c r="Q132" s="96" t="s">
        <v>86</v>
      </c>
      <c r="S132" s="96" t="s">
        <v>95</v>
      </c>
    </row>
    <row r="133" spans="1:19" ht="13.5" customHeight="1">
      <c r="A133" s="64">
        <f>$A$13</f>
        <v>106</v>
      </c>
      <c r="B133" s="93" t="str">
        <f>IF(B$13="","",B$13)</f>
        <v/>
      </c>
      <c r="C133" s="65" t="str">
        <f>IF($C$13="","",$C$13)</f>
        <v/>
      </c>
      <c r="D133" s="66" t="str">
        <f t="shared" ca="1" si="4"/>
        <v/>
      </c>
      <c r="E133" s="67"/>
      <c r="F133" s="64">
        <f>$F$13</f>
        <v>206</v>
      </c>
      <c r="G133" s="93" t="str">
        <f>IF(G$13="","",G$13)</f>
        <v/>
      </c>
      <c r="H133" s="65" t="str">
        <f>IF($H$13="","",$H$13)</f>
        <v/>
      </c>
      <c r="I133" s="66" t="str">
        <f t="shared" ca="1" si="5"/>
        <v/>
      </c>
      <c r="L133" s="112" t="str">
        <f>IF(L$13="","",L$13)</f>
        <v>Privat</v>
      </c>
      <c r="N133" s="112" t="str">
        <f>IF(N$13="","",N$13)</f>
        <v>Privat</v>
      </c>
      <c r="Q133" s="112" t="str">
        <f>IF(Q$13="","",Q$13)</f>
        <v/>
      </c>
      <c r="S133" s="112" t="str">
        <f>IF(S$13="","",S$13)</f>
        <v/>
      </c>
    </row>
    <row r="134" spans="1:19" ht="13.5" customHeight="1" thickBot="1">
      <c r="A134" s="64">
        <f>$A$14</f>
        <v>107</v>
      </c>
      <c r="B134" s="93" t="str">
        <f>IF(B$14="","",B$14)</f>
        <v/>
      </c>
      <c r="C134" s="65" t="str">
        <f>IF($C$14="","",$C$14)</f>
        <v/>
      </c>
      <c r="D134" s="66" t="str">
        <f t="shared" ca="1" si="4"/>
        <v/>
      </c>
      <c r="E134" s="67"/>
      <c r="F134" s="64">
        <f>$F$14</f>
        <v>207</v>
      </c>
      <c r="G134" s="93" t="str">
        <f>IF(G$14="","",G$14)</f>
        <v/>
      </c>
      <c r="H134" s="65" t="str">
        <f>IF($H$14="","",$H$14)</f>
        <v/>
      </c>
      <c r="I134" s="66" t="str">
        <f t="shared" ca="1" si="5"/>
        <v/>
      </c>
      <c r="L134" s="105">
        <f ca="1">SUMIF($B$127:$B$177,"B",$D$127:$D$177)</f>
        <v>0</v>
      </c>
      <c r="M134" s="104">
        <f ca="1">L134+N134</f>
        <v>0</v>
      </c>
      <c r="N134" s="106">
        <f ca="1">SUMIF($G$127:$G$177,"B",$I$127:$I$177)</f>
        <v>0</v>
      </c>
      <c r="Q134" s="105">
        <f ca="1">SUMIF($B$127:$B$177,"B",$D$127:$D$177)</f>
        <v>0</v>
      </c>
      <c r="R134" s="104">
        <f ca="1">Q134+S134</f>
        <v>0</v>
      </c>
      <c r="S134" s="106">
        <f ca="1">SUMIF($G$127:$G$177,"B",$I$127:$I$177)</f>
        <v>0</v>
      </c>
    </row>
    <row r="135" spans="1:19" ht="13.5" customHeight="1">
      <c r="A135" s="64">
        <f>$A$15</f>
        <v>108</v>
      </c>
      <c r="B135" s="93" t="str">
        <f>IF(B$15="","",B$15)</f>
        <v/>
      </c>
      <c r="C135" s="65" t="str">
        <f>IF($C$15="","",$C$15)</f>
        <v/>
      </c>
      <c r="D135" s="66" t="str">
        <f t="shared" ca="1" si="4"/>
        <v/>
      </c>
      <c r="E135" s="67"/>
      <c r="F135" s="64">
        <f>$F$15</f>
        <v>208</v>
      </c>
      <c r="G135" s="93" t="str">
        <f>IF(G$15="","",G$15)</f>
        <v/>
      </c>
      <c r="H135" s="65" t="str">
        <f>IF($H$15="","",$H$15)</f>
        <v/>
      </c>
      <c r="I135" s="66" t="str">
        <f t="shared" ca="1" si="5"/>
        <v/>
      </c>
    </row>
    <row r="136" spans="1:19" ht="13.5" customHeight="1" thickBot="1">
      <c r="A136" s="64">
        <f>$A$16</f>
        <v>109</v>
      </c>
      <c r="B136" s="93" t="str">
        <f>IF(B$16="","",B$16)</f>
        <v/>
      </c>
      <c r="C136" s="65" t="str">
        <f>IF($C$16="","",$C$16)</f>
        <v/>
      </c>
      <c r="D136" s="66" t="str">
        <f t="shared" ca="1" si="4"/>
        <v/>
      </c>
      <c r="E136" s="67"/>
      <c r="F136" s="64">
        <f>$F$16</f>
        <v>209</v>
      </c>
      <c r="G136" s="93" t="str">
        <f>IF(G$16="","",G$16)</f>
        <v/>
      </c>
      <c r="H136" s="65" t="str">
        <f>IF($H$16="","",$H$16)</f>
        <v/>
      </c>
      <c r="I136" s="66" t="str">
        <f t="shared" ca="1" si="5"/>
        <v/>
      </c>
    </row>
    <row r="137" spans="1:19" ht="13.5" customHeight="1">
      <c r="A137" s="64">
        <f>$A$17</f>
        <v>110</v>
      </c>
      <c r="B137" s="93" t="str">
        <f>IF(B$17="","",B$17)</f>
        <v/>
      </c>
      <c r="C137" s="65" t="str">
        <f>IF($C$17="","",$C$17)</f>
        <v/>
      </c>
      <c r="D137" s="66" t="str">
        <f t="shared" ca="1" si="4"/>
        <v/>
      </c>
      <c r="E137" s="67"/>
      <c r="F137" s="64">
        <f>$F$17</f>
        <v>210</v>
      </c>
      <c r="G137" s="93" t="str">
        <f>IF(G$17="","",G$17)</f>
        <v/>
      </c>
      <c r="H137" s="65" t="str">
        <f>IF($H$17="","",$H$17)</f>
        <v/>
      </c>
      <c r="I137" s="66" t="str">
        <f t="shared" ca="1" si="5"/>
        <v/>
      </c>
      <c r="Q137" s="109" t="s">
        <v>87</v>
      </c>
      <c r="S137" s="109" t="s">
        <v>96</v>
      </c>
    </row>
    <row r="138" spans="1:19" ht="13.5" customHeight="1">
      <c r="A138" s="64">
        <f>$A$18</f>
        <v>111</v>
      </c>
      <c r="B138" s="93" t="str">
        <f>IF(B$18="","",B$18)</f>
        <v/>
      </c>
      <c r="C138" s="65" t="str">
        <f>IF($C$18="","",$C$18)</f>
        <v/>
      </c>
      <c r="D138" s="66" t="str">
        <f t="shared" ca="1" si="4"/>
        <v/>
      </c>
      <c r="E138" s="67"/>
      <c r="F138" s="64">
        <f>$F$18</f>
        <v>211</v>
      </c>
      <c r="G138" s="93" t="str">
        <f>IF(G$18="","",G$18)</f>
        <v/>
      </c>
      <c r="H138" s="65" t="str">
        <f>IF($H$18="","",$H$18)</f>
        <v/>
      </c>
      <c r="I138" s="66" t="str">
        <f t="shared" ca="1" si="5"/>
        <v/>
      </c>
      <c r="Q138" s="112" t="str">
        <f>IF(Q$18="","",Q$18)</f>
        <v/>
      </c>
      <c r="S138" s="112" t="str">
        <f>IF(S$18="","",S$18)</f>
        <v/>
      </c>
    </row>
    <row r="139" spans="1:19" ht="13.5" customHeight="1" thickBot="1">
      <c r="A139" s="64">
        <f>$A$19</f>
        <v>112</v>
      </c>
      <c r="B139" s="93" t="str">
        <f>IF(B$19="","",B$19)</f>
        <v/>
      </c>
      <c r="C139" s="65" t="str">
        <f>IF($C$19="","",$C$19)</f>
        <v/>
      </c>
      <c r="D139" s="66" t="str">
        <f t="shared" ca="1" si="4"/>
        <v/>
      </c>
      <c r="E139" s="67"/>
      <c r="F139" s="64">
        <f>$F$19</f>
        <v>212</v>
      </c>
      <c r="G139" s="93" t="str">
        <f>IF(G$19="","",G$19)</f>
        <v/>
      </c>
      <c r="H139" s="65" t="str">
        <f>IF($H$19="","",$H$19)</f>
        <v/>
      </c>
      <c r="I139" s="66" t="str">
        <f t="shared" ca="1" si="5"/>
        <v/>
      </c>
      <c r="Q139" s="105">
        <f>SUMIF($B$127:$B$177,"C",$D$127:$D$177)</f>
        <v>0</v>
      </c>
      <c r="R139" s="104">
        <f>Q139+S139</f>
        <v>0</v>
      </c>
      <c r="S139" s="106">
        <f>SUMIF($G$127:$G$177,"C",$I$127:$I$177)</f>
        <v>0</v>
      </c>
    </row>
    <row r="140" spans="1:19" ht="13.5" customHeight="1">
      <c r="A140" s="64">
        <f>$A$20</f>
        <v>113</v>
      </c>
      <c r="B140" s="93" t="str">
        <f>IF(B$20="","",B$20)</f>
        <v/>
      </c>
      <c r="C140" s="65" t="str">
        <f>IF($C$20="","",$C$20)</f>
        <v/>
      </c>
      <c r="D140" s="66" t="str">
        <f t="shared" ca="1" si="4"/>
        <v/>
      </c>
      <c r="E140" s="67"/>
      <c r="F140" s="64">
        <f>$F$20</f>
        <v>213</v>
      </c>
      <c r="G140" s="93" t="str">
        <f>IF(G$20="","",G$20)</f>
        <v/>
      </c>
      <c r="H140" s="65" t="str">
        <f>IF($H$20="","",$H$20)</f>
        <v/>
      </c>
      <c r="I140" s="66" t="str">
        <f t="shared" ca="1" si="5"/>
        <v/>
      </c>
    </row>
    <row r="141" spans="1:19" ht="13.5" customHeight="1" thickBot="1">
      <c r="A141" s="64">
        <f>$A$21</f>
        <v>114</v>
      </c>
      <c r="B141" s="93" t="str">
        <f>IF(B$21="","",B$21)</f>
        <v/>
      </c>
      <c r="C141" s="65" t="str">
        <f>IF($C$21="","",$C$21)</f>
        <v/>
      </c>
      <c r="D141" s="66" t="str">
        <f t="shared" ca="1" si="4"/>
        <v/>
      </c>
      <c r="E141" s="67"/>
      <c r="F141" s="64">
        <f>$F$21</f>
        <v>214</v>
      </c>
      <c r="G141" s="93" t="str">
        <f>IF(G$21="","",G$21)</f>
        <v/>
      </c>
      <c r="H141" s="65" t="str">
        <f>IF($H$21="","",$H$21)</f>
        <v/>
      </c>
      <c r="I141" s="66" t="str">
        <f t="shared" ca="1" si="5"/>
        <v/>
      </c>
    </row>
    <row r="142" spans="1:19" ht="13.5" customHeight="1">
      <c r="A142" s="64">
        <f>$A$22</f>
        <v>115</v>
      </c>
      <c r="B142" s="93" t="str">
        <f>IF(B$22="","",B$22)</f>
        <v/>
      </c>
      <c r="C142" s="65" t="str">
        <f>IF($C$22="","",$C$22)</f>
        <v/>
      </c>
      <c r="D142" s="66" t="str">
        <f t="shared" ca="1" si="4"/>
        <v/>
      </c>
      <c r="E142" s="67"/>
      <c r="F142" s="64">
        <f>$F$22</f>
        <v>215</v>
      </c>
      <c r="G142" s="93" t="str">
        <f>IF(G$22="","",G$22)</f>
        <v/>
      </c>
      <c r="H142" s="65" t="str">
        <f>IF($H$22="","",$H$22)</f>
        <v/>
      </c>
      <c r="I142" s="66" t="str">
        <f t="shared" ca="1" si="5"/>
        <v/>
      </c>
      <c r="Q142" s="97" t="s">
        <v>88</v>
      </c>
      <c r="S142" s="97" t="s">
        <v>97</v>
      </c>
    </row>
    <row r="143" spans="1:19" ht="13.5" customHeight="1">
      <c r="A143" s="64">
        <f>$A$23</f>
        <v>116</v>
      </c>
      <c r="B143" s="93" t="str">
        <f>IF(B$23="","",B$23)</f>
        <v/>
      </c>
      <c r="C143" s="65" t="str">
        <f>IF($C$23="","",$C$23)</f>
        <v/>
      </c>
      <c r="D143" s="66" t="str">
        <f t="shared" ca="1" si="4"/>
        <v/>
      </c>
      <c r="E143" s="67"/>
      <c r="F143" s="64">
        <f>$F$23</f>
        <v>216</v>
      </c>
      <c r="G143" s="93" t="str">
        <f>IF(G$23="","",G$23)</f>
        <v/>
      </c>
      <c r="H143" s="65" t="str">
        <f>IF($H$23="","",$H$23)</f>
        <v/>
      </c>
      <c r="I143" s="66" t="str">
        <f t="shared" ca="1" si="5"/>
        <v/>
      </c>
      <c r="Q143" s="112" t="str">
        <f>IF(Q$23="","",Q$23)</f>
        <v/>
      </c>
      <c r="S143" s="112" t="str">
        <f>IF(S$23="","",S$23)</f>
        <v/>
      </c>
    </row>
    <row r="144" spans="1:19" ht="13.5" customHeight="1" thickBot="1">
      <c r="A144" s="64">
        <f>$A$24</f>
        <v>117</v>
      </c>
      <c r="B144" s="93" t="str">
        <f>IF(B$24="","",B$24)</f>
        <v/>
      </c>
      <c r="C144" s="65" t="str">
        <f>IF($C$24="","",$C$24)</f>
        <v/>
      </c>
      <c r="D144" s="66" t="str">
        <f t="shared" ca="1" si="4"/>
        <v/>
      </c>
      <c r="E144" s="67"/>
      <c r="F144" s="64">
        <f>$F$24</f>
        <v>217</v>
      </c>
      <c r="G144" s="93" t="str">
        <f>IF(G$24="","",G$24)</f>
        <v/>
      </c>
      <c r="H144" s="65" t="str">
        <f>IF($H$24="","",$H$24)</f>
        <v/>
      </c>
      <c r="I144" s="66" t="str">
        <f t="shared" ca="1" si="5"/>
        <v/>
      </c>
      <c r="Q144" s="105">
        <f>SUMIF($B$127:$B$177,"D",$D$127:$D$177)</f>
        <v>0</v>
      </c>
      <c r="R144" s="104">
        <f>Q144+S144</f>
        <v>0</v>
      </c>
      <c r="S144" s="106">
        <f>SUMIF($G$127:$G$177,"D",$I$127:$I$177)</f>
        <v>0</v>
      </c>
    </row>
    <row r="145" spans="1:19" ht="13.5" customHeight="1">
      <c r="A145" s="64">
        <f>$A$25</f>
        <v>118</v>
      </c>
      <c r="B145" s="93" t="str">
        <f>IF(B$25="","",B$25)</f>
        <v/>
      </c>
      <c r="C145" s="65" t="str">
        <f>IF($C$25="","",$C$25)</f>
        <v/>
      </c>
      <c r="D145" s="66" t="str">
        <f t="shared" ca="1" si="4"/>
        <v/>
      </c>
      <c r="E145" s="67"/>
      <c r="F145" s="64">
        <f>$F$25</f>
        <v>218</v>
      </c>
      <c r="G145" s="93" t="str">
        <f>IF(G$25="","",G$25)</f>
        <v/>
      </c>
      <c r="H145" s="65" t="str">
        <f>IF($H$25="","",$H$25)</f>
        <v/>
      </c>
      <c r="I145" s="66" t="str">
        <f t="shared" ca="1" si="5"/>
        <v/>
      </c>
    </row>
    <row r="146" spans="1:19" ht="13.5" customHeight="1" thickBot="1">
      <c r="A146" s="64">
        <f>$A$26</f>
        <v>119</v>
      </c>
      <c r="B146" s="93" t="str">
        <f>IF(B$26="","",B$26)</f>
        <v/>
      </c>
      <c r="C146" s="65" t="str">
        <f>IF($C$26="","",$C$26)</f>
        <v/>
      </c>
      <c r="D146" s="66" t="str">
        <f t="shared" ca="1" si="4"/>
        <v/>
      </c>
      <c r="E146" s="67"/>
      <c r="F146" s="64">
        <f>$F$26</f>
        <v>219</v>
      </c>
      <c r="G146" s="93" t="str">
        <f>IF(G$26="","",G$26)</f>
        <v/>
      </c>
      <c r="H146" s="65" t="str">
        <f>IF($H$26="","",$H$26)</f>
        <v/>
      </c>
      <c r="I146" s="66" t="str">
        <f t="shared" ca="1" si="5"/>
        <v/>
      </c>
    </row>
    <row r="147" spans="1:19" ht="13.5" customHeight="1">
      <c r="A147" s="64">
        <f>$A$27</f>
        <v>120</v>
      </c>
      <c r="B147" s="93" t="str">
        <f>IF(B$27="","",B$27)</f>
        <v/>
      </c>
      <c r="C147" s="65" t="str">
        <f>IF($C$27="","",$C$27)</f>
        <v/>
      </c>
      <c r="D147" s="66" t="str">
        <f t="shared" ca="1" si="4"/>
        <v/>
      </c>
      <c r="E147" s="67"/>
      <c r="F147" s="64">
        <f>$F$27</f>
        <v>220</v>
      </c>
      <c r="G147" s="93" t="str">
        <f>IF(G$27="","",G$27)</f>
        <v/>
      </c>
      <c r="H147" s="65" t="str">
        <f>IF($H$27="","",$H$27)</f>
        <v/>
      </c>
      <c r="I147" s="66" t="str">
        <f t="shared" ca="1" si="5"/>
        <v/>
      </c>
      <c r="Q147" s="110" t="s">
        <v>89</v>
      </c>
      <c r="S147" s="110" t="s">
        <v>98</v>
      </c>
    </row>
    <row r="148" spans="1:19" ht="13.5" customHeight="1">
      <c r="A148" s="64">
        <f>$A$28</f>
        <v>121</v>
      </c>
      <c r="B148" s="93" t="str">
        <f>IF(B$28="","",B$28)</f>
        <v/>
      </c>
      <c r="C148" s="65" t="str">
        <f>IF($C$28="","",$C$28)</f>
        <v/>
      </c>
      <c r="D148" s="66" t="str">
        <f t="shared" ca="1" si="4"/>
        <v/>
      </c>
      <c r="E148" s="67"/>
      <c r="F148" s="64">
        <f>$F$28</f>
        <v>221</v>
      </c>
      <c r="G148" s="93" t="str">
        <f>IF(G$28="","",G$28)</f>
        <v/>
      </c>
      <c r="H148" s="65" t="str">
        <f>IF($H$28="","",$H$28)</f>
        <v/>
      </c>
      <c r="I148" s="66" t="str">
        <f t="shared" ca="1" si="5"/>
        <v/>
      </c>
      <c r="Q148" s="112" t="str">
        <f>IF(Q$28="","",Q$28)</f>
        <v/>
      </c>
      <c r="S148" s="112" t="str">
        <f>IF(S$28="","",S$28)</f>
        <v/>
      </c>
    </row>
    <row r="149" spans="1:19" ht="13.5" customHeight="1" thickBot="1">
      <c r="A149" s="64">
        <f>$A$29</f>
        <v>122</v>
      </c>
      <c r="B149" s="93" t="str">
        <f>IF(B$29="","",B$29)</f>
        <v/>
      </c>
      <c r="C149" s="65" t="str">
        <f>IF($C$29="","",$C$29)</f>
        <v/>
      </c>
      <c r="D149" s="66" t="str">
        <f t="shared" ca="1" si="4"/>
        <v/>
      </c>
      <c r="E149" s="67"/>
      <c r="F149" s="64">
        <f>$F$29</f>
        <v>222</v>
      </c>
      <c r="G149" s="93" t="str">
        <f>IF(G$29="","",G$29)</f>
        <v/>
      </c>
      <c r="H149" s="65" t="str">
        <f>IF($H$29="","",$H$29)</f>
        <v/>
      </c>
      <c r="I149" s="66" t="str">
        <f t="shared" ca="1" si="5"/>
        <v/>
      </c>
      <c r="Q149" s="105">
        <f>SUMIF($B$127:$B$177,"E",$D$127:$D$177)</f>
        <v>0</v>
      </c>
      <c r="R149" s="104">
        <f>Q149+S149</f>
        <v>0</v>
      </c>
      <c r="S149" s="106">
        <f>SUMIF($G$127:$G$177,"E",$I$127:$I$177)</f>
        <v>0</v>
      </c>
    </row>
    <row r="150" spans="1:19" ht="13.5" customHeight="1">
      <c r="A150" s="64">
        <f>$A$30</f>
        <v>123</v>
      </c>
      <c r="B150" s="93" t="str">
        <f>IF(B$30="","",B$30)</f>
        <v/>
      </c>
      <c r="C150" s="65" t="str">
        <f>IF($C$30="","",$C$30)</f>
        <v/>
      </c>
      <c r="D150" s="66" t="str">
        <f t="shared" ca="1" si="4"/>
        <v/>
      </c>
      <c r="E150" s="67"/>
      <c r="F150" s="64">
        <f>$F$30</f>
        <v>223</v>
      </c>
      <c r="G150" s="93" t="str">
        <f>IF(G$30="","",G$30)</f>
        <v/>
      </c>
      <c r="H150" s="65" t="str">
        <f>IF($H$30="","",$H$30)</f>
        <v/>
      </c>
      <c r="I150" s="66" t="str">
        <f t="shared" ca="1" si="5"/>
        <v/>
      </c>
    </row>
    <row r="151" spans="1:19" ht="13.5" customHeight="1" thickBot="1">
      <c r="A151" s="64">
        <f>$A$31</f>
        <v>124</v>
      </c>
      <c r="B151" s="93" t="str">
        <f>IF(B$31="","",B$31)</f>
        <v/>
      </c>
      <c r="C151" s="65" t="str">
        <f>IF($C$31="","",$C$31)</f>
        <v/>
      </c>
      <c r="D151" s="66" t="str">
        <f t="shared" ca="1" si="4"/>
        <v/>
      </c>
      <c r="E151" s="67"/>
      <c r="F151" s="64">
        <f>$F$31</f>
        <v>224</v>
      </c>
      <c r="G151" s="93" t="str">
        <f>IF(G$31="","",G$31)</f>
        <v/>
      </c>
      <c r="H151" s="65" t="str">
        <f>IF($H$31="","",$H$31)</f>
        <v/>
      </c>
      <c r="I151" s="66" t="str">
        <f t="shared" ca="1" si="5"/>
        <v/>
      </c>
    </row>
    <row r="152" spans="1:19" ht="13.5" customHeight="1">
      <c r="A152" s="64">
        <f>$A$32</f>
        <v>125</v>
      </c>
      <c r="B152" s="154" t="str">
        <f>IF(B$32="","",B$32)</f>
        <v>B</v>
      </c>
      <c r="C152" s="65" t="str">
        <f>IF($C$32="","",$C$32)</f>
        <v>Lohn Nebenerwerb</v>
      </c>
      <c r="D152" s="66">
        <f t="shared" ca="1" si="4"/>
        <v>0</v>
      </c>
      <c r="E152" s="67"/>
      <c r="F152" s="64">
        <f>$F$32</f>
        <v>225</v>
      </c>
      <c r="G152" s="154" t="str">
        <f>IF(G$32="","",G$32)</f>
        <v>B</v>
      </c>
      <c r="H152" s="65" t="str">
        <f>IF($H$32="","",$H$32)</f>
        <v>Nahrung, Kleider, Körperpflege</v>
      </c>
      <c r="I152" s="66">
        <f t="shared" ca="1" si="5"/>
        <v>0</v>
      </c>
      <c r="Q152" s="98" t="s">
        <v>90</v>
      </c>
      <c r="S152" s="98" t="s">
        <v>99</v>
      </c>
    </row>
    <row r="153" spans="1:19" ht="13.5" customHeight="1">
      <c r="A153" s="64">
        <f>$A$33</f>
        <v>126</v>
      </c>
      <c r="B153" s="93" t="str">
        <f>IF(B$33="","",B$33)</f>
        <v/>
      </c>
      <c r="C153" s="65" t="str">
        <f>IF($C$33="","",$C$33)</f>
        <v/>
      </c>
      <c r="D153" s="66" t="str">
        <f t="shared" ca="1" si="4"/>
        <v/>
      </c>
      <c r="E153" s="67"/>
      <c r="F153" s="64">
        <f>$F$33</f>
        <v>226</v>
      </c>
      <c r="G153" s="154" t="str">
        <f>IF(G$33="","",G$33)</f>
        <v>B</v>
      </c>
      <c r="H153" s="65" t="str">
        <f>IF($H$33="","",$H$33)</f>
        <v>Autokosten</v>
      </c>
      <c r="I153" s="66">
        <f t="shared" ca="1" si="5"/>
        <v>0</v>
      </c>
      <c r="Q153" s="112" t="str">
        <f>IF(Q$33="","",Q$33)</f>
        <v/>
      </c>
      <c r="S153" s="112" t="str">
        <f>IF(S$33="","",S$33)</f>
        <v/>
      </c>
    </row>
    <row r="154" spans="1:19" ht="13.5" customHeight="1" thickBot="1">
      <c r="A154" s="64">
        <f>$A$34</f>
        <v>127</v>
      </c>
      <c r="B154" s="93" t="str">
        <f>IF(B$34="","",B$34)</f>
        <v/>
      </c>
      <c r="C154" s="65" t="str">
        <f>IF($C$34="","",$C$34)</f>
        <v/>
      </c>
      <c r="D154" s="66" t="str">
        <f t="shared" ca="1" si="4"/>
        <v/>
      </c>
      <c r="E154" s="67"/>
      <c r="F154" s="64">
        <f>$F$34</f>
        <v>227</v>
      </c>
      <c r="G154" s="154" t="str">
        <f>IF(G$34="","",G$34)</f>
        <v>B</v>
      </c>
      <c r="H154" s="65" t="str">
        <f>IF($H$34="","",$H$34)</f>
        <v>Gesundheit, Krankenkasse, Zahnarzt</v>
      </c>
      <c r="I154" s="66">
        <f t="shared" ca="1" si="5"/>
        <v>0</v>
      </c>
      <c r="Q154" s="105">
        <f>SUMIF($B$127:$B$177,"F",$D$127:$D$177)</f>
        <v>0</v>
      </c>
      <c r="R154" s="104">
        <f>Q154+S154</f>
        <v>0</v>
      </c>
      <c r="S154" s="106">
        <f>SUMIF($G$127:$G$177,"F",$I$127:$I$177)</f>
        <v>0</v>
      </c>
    </row>
    <row r="155" spans="1:19" ht="13.5" customHeight="1">
      <c r="A155" s="64">
        <f>$A$35</f>
        <v>128</v>
      </c>
      <c r="B155" s="93" t="str">
        <f>IF(B$35="","",B$35)</f>
        <v/>
      </c>
      <c r="C155" s="65" t="str">
        <f>IF($C$35="","",$C$35)</f>
        <v/>
      </c>
      <c r="D155" s="66" t="str">
        <f t="shared" ca="1" si="4"/>
        <v/>
      </c>
      <c r="E155" s="67"/>
      <c r="F155" s="64">
        <f>$F$35</f>
        <v>228</v>
      </c>
      <c r="G155" s="154" t="str">
        <f>IF(G$35="","",G$35)</f>
        <v>B</v>
      </c>
      <c r="H155" s="65" t="str">
        <f>IF($H$35="","",$H$35)</f>
        <v>Versicherungen allgemein</v>
      </c>
      <c r="I155" s="66">
        <f t="shared" ca="1" si="5"/>
        <v>0</v>
      </c>
    </row>
    <row r="156" spans="1:19" ht="13.5" customHeight="1" thickBot="1">
      <c r="A156" s="64">
        <f>$A$36</f>
        <v>129</v>
      </c>
      <c r="B156" s="93" t="str">
        <f>IF(B$36="","",B$36)</f>
        <v/>
      </c>
      <c r="C156" s="65" t="str">
        <f>IF($C$36="","",$C$36)</f>
        <v/>
      </c>
      <c r="D156" s="66" t="str">
        <f t="shared" ca="1" si="4"/>
        <v/>
      </c>
      <c r="E156" s="67"/>
      <c r="F156" s="64">
        <f>$F$36</f>
        <v>229</v>
      </c>
      <c r="G156" s="154" t="str">
        <f>IF(G$36="","",G$36)</f>
        <v>B</v>
      </c>
      <c r="H156" s="65" t="str">
        <f>IF($H$36="","",$H$36)</f>
        <v>Büro, Computer, Fotos</v>
      </c>
      <c r="I156" s="66">
        <f t="shared" ca="1" si="5"/>
        <v>0</v>
      </c>
    </row>
    <row r="157" spans="1:19" ht="13.5" customHeight="1">
      <c r="A157" s="64">
        <f>$A$37</f>
        <v>130</v>
      </c>
      <c r="B157" s="93" t="str">
        <f>IF(B$37="","",B$37)</f>
        <v/>
      </c>
      <c r="C157" s="65" t="str">
        <f>IF($C$37="","",$C$37)</f>
        <v/>
      </c>
      <c r="D157" s="66" t="str">
        <f t="shared" ca="1" si="4"/>
        <v/>
      </c>
      <c r="E157" s="67"/>
      <c r="F157" s="64">
        <f>$F$37</f>
        <v>230</v>
      </c>
      <c r="G157" s="154" t="str">
        <f>IF(G$37="","",G$37)</f>
        <v>B</v>
      </c>
      <c r="H157" s="65" t="str">
        <f>IF($H$37="","",$H$37)</f>
        <v>Ferien, Ausflüge</v>
      </c>
      <c r="I157" s="66">
        <f t="shared" ca="1" si="5"/>
        <v>0</v>
      </c>
      <c r="Q157" s="99" t="s">
        <v>91</v>
      </c>
      <c r="S157" s="99" t="s">
        <v>100</v>
      </c>
    </row>
    <row r="158" spans="1:19" ht="13.5" customHeight="1">
      <c r="A158" s="64">
        <f>$A$38</f>
        <v>131</v>
      </c>
      <c r="B158" s="93" t="str">
        <f>IF(B$38="","",B$38)</f>
        <v/>
      </c>
      <c r="C158" s="65" t="str">
        <f>IF($C$38="","",$C$38)</f>
        <v/>
      </c>
      <c r="D158" s="66" t="str">
        <f t="shared" ca="1" si="4"/>
        <v/>
      </c>
      <c r="E158" s="67"/>
      <c r="F158" s="64">
        <f>$F$38</f>
        <v>231</v>
      </c>
      <c r="G158" s="154" t="str">
        <f>IF(G$38="","",G$38)</f>
        <v>B</v>
      </c>
      <c r="H158" s="65" t="str">
        <f>IF($H$38="","",$H$38)</f>
        <v>Freizeit, Vergnügen, Unterhaltung</v>
      </c>
      <c r="I158" s="66">
        <f t="shared" ca="1" si="5"/>
        <v>0</v>
      </c>
      <c r="Q158" s="112" t="str">
        <f>IF(Q$38="","",Q$38)</f>
        <v/>
      </c>
      <c r="S158" s="112" t="str">
        <f>IF(S$38="","",S$38)</f>
        <v/>
      </c>
    </row>
    <row r="159" spans="1:19" ht="13.5" customHeight="1" thickBot="1">
      <c r="A159" s="64">
        <f>$A$39</f>
        <v>132</v>
      </c>
      <c r="B159" s="154" t="str">
        <f>IF(B$39="","",B$39)</f>
        <v>B</v>
      </c>
      <c r="C159" s="65" t="str">
        <f>IF($C$39="","",$C$39)</f>
        <v>Feuerwehrsold</v>
      </c>
      <c r="D159" s="66">
        <f t="shared" ca="1" si="4"/>
        <v>0</v>
      </c>
      <c r="E159" s="67"/>
      <c r="F159" s="64">
        <f>$F$39</f>
        <v>232</v>
      </c>
      <c r="G159" s="154" t="str">
        <f>IF(G$39="","",G$39)</f>
        <v>B</v>
      </c>
      <c r="H159" s="65" t="str">
        <f>IF($H$39="","",$H$39)</f>
        <v>Telefon</v>
      </c>
      <c r="I159" s="66">
        <f t="shared" ca="1" si="5"/>
        <v>0</v>
      </c>
      <c r="Q159" s="105">
        <f>SUMIF($B$127:$B$177,"G",$D$127:$D$177)</f>
        <v>0</v>
      </c>
      <c r="R159" s="104">
        <f>Q159+S159</f>
        <v>0</v>
      </c>
      <c r="S159" s="106">
        <f>SUMIF($G$127:$G$177,"G",$I$127:$I$177)</f>
        <v>0</v>
      </c>
    </row>
    <row r="160" spans="1:19" ht="13.5" customHeight="1">
      <c r="A160" s="64">
        <f>$A$40</f>
        <v>133</v>
      </c>
      <c r="B160" s="93" t="str">
        <f>IF(B$40="","",B$40)</f>
        <v/>
      </c>
      <c r="C160" s="65" t="str">
        <f>IF($C$40="","",$C$40)</f>
        <v/>
      </c>
      <c r="D160" s="66" t="str">
        <f t="shared" ca="1" si="4"/>
        <v/>
      </c>
      <c r="E160" s="67"/>
      <c r="F160" s="64">
        <f>$F$40</f>
        <v>233</v>
      </c>
      <c r="G160" s="154" t="str">
        <f>IF(G$40="","",G$40)</f>
        <v>B</v>
      </c>
      <c r="H160" s="65" t="str">
        <f>IF($H$40="","",$H$40)</f>
        <v>Öffentlicher Verkehr und Velo</v>
      </c>
      <c r="I160" s="66">
        <f t="shared" ca="1" si="5"/>
        <v>0</v>
      </c>
    </row>
    <row r="161" spans="1:19" ht="13.5" customHeight="1" thickBot="1">
      <c r="A161" s="64">
        <f>$A$41</f>
        <v>134</v>
      </c>
      <c r="B161" s="93" t="str">
        <f>IF(B$41="","",B$41)</f>
        <v/>
      </c>
      <c r="C161" s="65" t="str">
        <f>IF($C$41="","",$C$41)</f>
        <v/>
      </c>
      <c r="D161" s="66" t="str">
        <f t="shared" ca="1" si="4"/>
        <v/>
      </c>
      <c r="E161" s="67"/>
      <c r="F161" s="64">
        <f>$F$41</f>
        <v>234</v>
      </c>
      <c r="G161" s="154" t="str">
        <f>IF(G$41="","",G$41)</f>
        <v>B</v>
      </c>
      <c r="H161" s="65" t="str">
        <f>IF($H$41="","",$H$41)</f>
        <v>Möbel, Wohnungseinrichtung</v>
      </c>
      <c r="I161" s="66">
        <f t="shared" ca="1" si="5"/>
        <v>0</v>
      </c>
    </row>
    <row r="162" spans="1:19" ht="13.5" customHeight="1">
      <c r="A162" s="64">
        <f>$A$42</f>
        <v>135</v>
      </c>
      <c r="B162" s="93" t="str">
        <f>IF(B$42="","",B$42)</f>
        <v/>
      </c>
      <c r="C162" s="65" t="str">
        <f>IF($C$42="","",$C$42)</f>
        <v/>
      </c>
      <c r="D162" s="66" t="str">
        <f t="shared" ca="1" si="4"/>
        <v/>
      </c>
      <c r="E162" s="67"/>
      <c r="F162" s="64">
        <f>$F$42</f>
        <v>235</v>
      </c>
      <c r="G162" s="154" t="str">
        <f>IF(G$42="","",G$42)</f>
        <v>B</v>
      </c>
      <c r="H162" s="65" t="str">
        <f>IF($H$42="","",$H$42)</f>
        <v>Kosten IT Consulting / Webdesign</v>
      </c>
      <c r="I162" s="66">
        <f t="shared" ca="1" si="5"/>
        <v>0</v>
      </c>
      <c r="Q162" s="100" t="s">
        <v>92</v>
      </c>
      <c r="S162" s="100" t="s">
        <v>101</v>
      </c>
    </row>
    <row r="163" spans="1:19" ht="13.5" customHeight="1">
      <c r="A163" s="64">
        <f>$A$43</f>
        <v>136</v>
      </c>
      <c r="B163" s="93" t="str">
        <f>IF(B$43="","",B$43)</f>
        <v/>
      </c>
      <c r="C163" s="65" t="str">
        <f>IF($C$43="","",$C$43)</f>
        <v/>
      </c>
      <c r="D163" s="66" t="str">
        <f t="shared" ca="1" si="4"/>
        <v/>
      </c>
      <c r="E163" s="67"/>
      <c r="F163" s="64">
        <f>$F$43</f>
        <v>236</v>
      </c>
      <c r="G163" s="154" t="str">
        <f>IF(G$43="","",G$43)</f>
        <v>B</v>
      </c>
      <c r="H163" s="65" t="str">
        <f>IF($H$43="","",$H$43)</f>
        <v>Schule und Bildung Kinder</v>
      </c>
      <c r="I163" s="66">
        <f t="shared" ca="1" si="5"/>
        <v>0</v>
      </c>
      <c r="Q163" s="112" t="str">
        <f>IF(Q$43="","",Q$43)</f>
        <v/>
      </c>
      <c r="S163" s="112" t="str">
        <f>IF(S$43="","",S$43)</f>
        <v/>
      </c>
    </row>
    <row r="164" spans="1:19" ht="13.5" customHeight="1" thickBot="1">
      <c r="A164" s="64">
        <f>$A$44</f>
        <v>137</v>
      </c>
      <c r="B164" s="93" t="str">
        <f>IF(B$44="","",B$44)</f>
        <v/>
      </c>
      <c r="C164" s="65" t="str">
        <f>IF($C$44="","",$C$44)</f>
        <v/>
      </c>
      <c r="D164" s="66" t="str">
        <f t="shared" ca="1" si="4"/>
        <v/>
      </c>
      <c r="E164" s="67"/>
      <c r="F164" s="64">
        <f>$F$44</f>
        <v>237</v>
      </c>
      <c r="G164" s="154" t="str">
        <f>IF(G$44="","",G$44)</f>
        <v>B</v>
      </c>
      <c r="H164" s="65" t="str">
        <f>IF($H$44="","",$H$44)</f>
        <v>Org. Freizeitaktivitäten der Kinder</v>
      </c>
      <c r="I164" s="66">
        <f t="shared" ca="1" si="5"/>
        <v>0</v>
      </c>
      <c r="Q164" s="105">
        <f>SUMIF($B$127:$B$177,"H",$D$127:$D$177)</f>
        <v>0</v>
      </c>
      <c r="R164" s="104">
        <f>Q164+S164</f>
        <v>0</v>
      </c>
      <c r="S164" s="106">
        <f>SUMIF($G$127:$G$177,"H",$I$127:$I$177)</f>
        <v>0</v>
      </c>
    </row>
    <row r="165" spans="1:19" ht="13.5" customHeight="1">
      <c r="A165" s="64">
        <f>$A$45</f>
        <v>138</v>
      </c>
      <c r="B165" s="93" t="str">
        <f>IF(B$45="","",B$45)</f>
        <v/>
      </c>
      <c r="C165" s="65" t="str">
        <f>IF($C$45="","",$C$45)</f>
        <v/>
      </c>
      <c r="D165" s="66" t="str">
        <f t="shared" ca="1" si="4"/>
        <v/>
      </c>
      <c r="E165" s="67"/>
      <c r="F165" s="64">
        <f>$F$45</f>
        <v>238</v>
      </c>
      <c r="G165" s="93" t="str">
        <f>IF(G$45="","",G$45)</f>
        <v/>
      </c>
      <c r="H165" s="65" t="str">
        <f>IF($H$45="","",$H$45)</f>
        <v/>
      </c>
      <c r="I165" s="66" t="str">
        <f t="shared" ca="1" si="5"/>
        <v/>
      </c>
    </row>
    <row r="166" spans="1:19" ht="13.5" customHeight="1" thickBot="1">
      <c r="A166" s="64">
        <f>$A$46</f>
        <v>139</v>
      </c>
      <c r="B166" s="93" t="str">
        <f>IF(B$46="","",B$46)</f>
        <v/>
      </c>
      <c r="C166" s="65" t="str">
        <f>IF($C$46="","",$C$46)</f>
        <v/>
      </c>
      <c r="D166" s="66" t="str">
        <f t="shared" ca="1" si="4"/>
        <v/>
      </c>
      <c r="E166" s="67"/>
      <c r="F166" s="64">
        <f>$F$46</f>
        <v>239</v>
      </c>
      <c r="G166" s="154" t="str">
        <f>IF(G$46="","",G$46)</f>
        <v>B</v>
      </c>
      <c r="H166" s="65" t="str">
        <f>IF($H$46="","",$H$46)</f>
        <v>Wohltätige Spenden</v>
      </c>
      <c r="I166" s="66">
        <f t="shared" ca="1" si="5"/>
        <v>0</v>
      </c>
    </row>
    <row r="167" spans="1:19" ht="13.5" customHeight="1">
      <c r="A167" s="64">
        <f>$A$47</f>
        <v>140</v>
      </c>
      <c r="B167" s="93" t="str">
        <f>IF(B$47="","",B$47)</f>
        <v/>
      </c>
      <c r="C167" s="65" t="str">
        <f>IF($C$47="","",$C$47)</f>
        <v/>
      </c>
      <c r="D167" s="66" t="str">
        <f t="shared" ca="1" si="4"/>
        <v/>
      </c>
      <c r="E167" s="67"/>
      <c r="F167" s="64">
        <f>$F$47</f>
        <v>240</v>
      </c>
      <c r="G167" s="154" t="str">
        <f>IF(G$47="","",G$47)</f>
        <v>B</v>
      </c>
      <c r="H167" s="65" t="str">
        <f>IF($H$47="","",$H$47)</f>
        <v>Vorsorgesparen 3a / PK Einkauf</v>
      </c>
      <c r="I167" s="66">
        <f t="shared" ca="1" si="5"/>
        <v>0</v>
      </c>
      <c r="Q167" s="101" t="s">
        <v>93</v>
      </c>
      <c r="S167" s="101" t="s">
        <v>102</v>
      </c>
    </row>
    <row r="168" spans="1:19" ht="13.5" customHeight="1">
      <c r="A168" s="64">
        <f>$A$48</f>
        <v>141</v>
      </c>
      <c r="B168" s="93" t="str">
        <f>IF(B$48="","",B$48)</f>
        <v/>
      </c>
      <c r="C168" s="65" t="str">
        <f>IF($C$48="","",$C$48)</f>
        <v/>
      </c>
      <c r="D168" s="66" t="str">
        <f t="shared" ca="1" si="4"/>
        <v/>
      </c>
      <c r="E168" s="67"/>
      <c r="F168" s="64">
        <f>$F$48</f>
        <v>241</v>
      </c>
      <c r="G168" s="93" t="str">
        <f>IF(G$48="","",G$48)</f>
        <v/>
      </c>
      <c r="H168" s="65" t="str">
        <f>IF($H$48="","",$H$48)</f>
        <v/>
      </c>
      <c r="I168" s="66" t="str">
        <f t="shared" ca="1" si="5"/>
        <v/>
      </c>
      <c r="Q168" s="112" t="str">
        <f>IF(Q$48="","",Q$48)</f>
        <v/>
      </c>
      <c r="S168" s="112" t="str">
        <f>IF(S$48="","",S$48)</f>
        <v/>
      </c>
    </row>
    <row r="169" spans="1:19" ht="13.5" customHeight="1" thickBot="1">
      <c r="A169" s="64">
        <f>$A$49</f>
        <v>142</v>
      </c>
      <c r="B169" s="93" t="str">
        <f>IF(B$49="","",B$49)</f>
        <v/>
      </c>
      <c r="C169" s="65" t="str">
        <f>IF($C$49="","",$C$49)</f>
        <v/>
      </c>
      <c r="D169" s="66" t="str">
        <f t="shared" ca="1" si="4"/>
        <v/>
      </c>
      <c r="E169" s="67"/>
      <c r="F169" s="64">
        <f>$F$49</f>
        <v>242</v>
      </c>
      <c r="G169" s="93" t="str">
        <f>IF(G$49="","",G$49)</f>
        <v/>
      </c>
      <c r="H169" s="65" t="str">
        <f>IF($H$49="","",$H$49)</f>
        <v/>
      </c>
      <c r="I169" s="66" t="str">
        <f t="shared" ca="1" si="5"/>
        <v/>
      </c>
      <c r="Q169" s="105">
        <f>SUMIF($B$127:$B$177,"I",$D$127:$D$177)</f>
        <v>0</v>
      </c>
      <c r="R169" s="104">
        <f>Q169+S169</f>
        <v>0</v>
      </c>
      <c r="S169" s="106">
        <f>SUMIF($G$127:$G$177,"I",$I$127:$I$177)</f>
        <v>0</v>
      </c>
    </row>
    <row r="170" spans="1:19" ht="13.5" customHeight="1">
      <c r="A170" s="64">
        <f>$A$50</f>
        <v>143</v>
      </c>
      <c r="B170" s="93" t="str">
        <f>IF(B$50="","",B$50)</f>
        <v/>
      </c>
      <c r="C170" s="65" t="str">
        <f>IF($C$50="","",$C$50)</f>
        <v/>
      </c>
      <c r="D170" s="66" t="str">
        <f t="shared" ca="1" si="4"/>
        <v/>
      </c>
      <c r="E170" s="67"/>
      <c r="F170" s="64">
        <f>$F$50</f>
        <v>243</v>
      </c>
      <c r="G170" s="154" t="str">
        <f>IF(G$50="","",G$50)</f>
        <v>B</v>
      </c>
      <c r="H170" s="65" t="str">
        <f>IF($H$50="","",$H$50)</f>
        <v>Wasser</v>
      </c>
      <c r="I170" s="66">
        <f t="shared" ca="1" si="5"/>
        <v>0</v>
      </c>
    </row>
    <row r="171" spans="1:19" ht="13.5" customHeight="1" thickBot="1">
      <c r="A171" s="64">
        <f>$A$51</f>
        <v>144</v>
      </c>
      <c r="B171" s="93" t="str">
        <f>IF(B$51="","",B$51)</f>
        <v/>
      </c>
      <c r="C171" s="65" t="str">
        <f>IF($C$51="","",$C$51)</f>
        <v/>
      </c>
      <c r="D171" s="66" t="str">
        <f t="shared" ca="1" si="4"/>
        <v/>
      </c>
      <c r="E171" s="67"/>
      <c r="F171" s="64">
        <f>$F$51</f>
        <v>244</v>
      </c>
      <c r="G171" s="154" t="str">
        <f>IF(G$51="","",G$51)</f>
        <v>B</v>
      </c>
      <c r="H171" s="65" t="str">
        <f>IF($H$51="","",$H$51)</f>
        <v>Strom</v>
      </c>
      <c r="I171" s="66">
        <f t="shared" ca="1" si="5"/>
        <v>0</v>
      </c>
    </row>
    <row r="172" spans="1:19" ht="13.5" customHeight="1">
      <c r="A172" s="64">
        <f>$A$52</f>
        <v>145</v>
      </c>
      <c r="B172" s="93" t="str">
        <f>IF(B$52="","",B$52)</f>
        <v/>
      </c>
      <c r="C172" s="65" t="str">
        <f>IF($C$52="","",$C$52)</f>
        <v/>
      </c>
      <c r="D172" s="66" t="str">
        <f t="shared" ca="1" si="4"/>
        <v/>
      </c>
      <c r="E172" s="67"/>
      <c r="F172" s="64">
        <f>$F$52</f>
        <v>245</v>
      </c>
      <c r="G172" s="154" t="str">
        <f>IF(G$52="","",G$52)</f>
        <v>B</v>
      </c>
      <c r="H172" s="65" t="str">
        <f>IF($H$52="","",$H$52)</f>
        <v>Geschenke</v>
      </c>
      <c r="I172" s="66">
        <f t="shared" ca="1" si="5"/>
        <v>0</v>
      </c>
      <c r="Q172" s="102" t="s">
        <v>94</v>
      </c>
      <c r="S172" s="102" t="s">
        <v>103</v>
      </c>
    </row>
    <row r="173" spans="1:19" ht="13.5" customHeight="1">
      <c r="A173" s="64">
        <f>$A$53</f>
        <v>146</v>
      </c>
      <c r="B173" s="93" t="str">
        <f>IF(B$53="","",B$53)</f>
        <v/>
      </c>
      <c r="C173" s="65" t="str">
        <f>IF($C$53="","",$C$53)</f>
        <v/>
      </c>
      <c r="D173" s="66" t="str">
        <f t="shared" ca="1" si="4"/>
        <v/>
      </c>
      <c r="E173" s="67"/>
      <c r="F173" s="64">
        <f>$F$53</f>
        <v>246</v>
      </c>
      <c r="G173" s="154" t="str">
        <f>IF(G$53="","",G$53)</f>
        <v>B</v>
      </c>
      <c r="H173" s="65" t="str">
        <f>IF($H$53="","",$H$53)</f>
        <v>Erwachsenenbildung</v>
      </c>
      <c r="I173" s="66">
        <f t="shared" ca="1" si="5"/>
        <v>0</v>
      </c>
      <c r="Q173" s="112" t="str">
        <f>IF(Q$53="","",Q$53)</f>
        <v/>
      </c>
      <c r="S173" s="112" t="str">
        <f>IF(S$53="","",S$53)</f>
        <v/>
      </c>
    </row>
    <row r="174" spans="1:19" ht="13.5" customHeight="1" thickBot="1">
      <c r="A174" s="64">
        <f>$A$54</f>
        <v>147</v>
      </c>
      <c r="B174" s="154" t="str">
        <f>IF(B$54="","",B$54)</f>
        <v>B</v>
      </c>
      <c r="C174" s="65" t="str">
        <f>IF($C$54="","",$C$54)</f>
        <v>Diverse Privateinnahmen</v>
      </c>
      <c r="D174" s="66">
        <f t="shared" ca="1" si="4"/>
        <v>0</v>
      </c>
      <c r="E174" s="67"/>
      <c r="F174" s="64">
        <f>$F$54</f>
        <v>247</v>
      </c>
      <c r="G174" s="154" t="str">
        <f>IF(G$54="","",G$54)</f>
        <v>B</v>
      </c>
      <c r="H174" s="65" t="str">
        <f>IF($H$54="","",$H$54)</f>
        <v>Diverse Privatausgaben</v>
      </c>
      <c r="I174" s="66">
        <f t="shared" ca="1" si="5"/>
        <v>0</v>
      </c>
      <c r="Q174" s="105">
        <f>SUMIF($B$127:$B$177,"K",$D$127:$D$177)</f>
        <v>0</v>
      </c>
      <c r="R174" s="104">
        <f>Q174+S174</f>
        <v>0</v>
      </c>
      <c r="S174" s="106">
        <f>SUMIF($G$127:$G$177,"K",$I$127:$I$177)</f>
        <v>0</v>
      </c>
    </row>
    <row r="175" spans="1:19" ht="13.5" customHeight="1">
      <c r="A175" s="64">
        <f>$A$55</f>
        <v>148</v>
      </c>
      <c r="B175" s="93" t="str">
        <f>IF(B$55="","",B$55)</f>
        <v/>
      </c>
      <c r="C175" s="65" t="str">
        <f>IF($C$55="","",$C$55)</f>
        <v/>
      </c>
      <c r="D175" s="66" t="str">
        <f t="shared" ca="1" si="4"/>
        <v/>
      </c>
      <c r="E175" s="67"/>
      <c r="F175" s="64">
        <f>$F$55</f>
        <v>248</v>
      </c>
      <c r="G175" s="154" t="str">
        <f>IF(G$55="","",G$55)</f>
        <v>B</v>
      </c>
      <c r="H175" s="65" t="str">
        <f>IF($H$55="","",$H$55)</f>
        <v>Private Vereinsbeiträge</v>
      </c>
      <c r="I175" s="66">
        <f t="shared" ca="1" si="5"/>
        <v>0</v>
      </c>
    </row>
    <row r="176" spans="1:19" ht="13.5" customHeight="1" thickBot="1">
      <c r="A176" s="64">
        <f>$A$56</f>
        <v>149</v>
      </c>
      <c r="B176" s="93" t="str">
        <f>IF(B$56="","",B$56)</f>
        <v/>
      </c>
      <c r="C176" s="65" t="str">
        <f>IF($C$56="","",$C$56)</f>
        <v/>
      </c>
      <c r="D176" s="66" t="str">
        <f t="shared" ca="1" si="4"/>
        <v/>
      </c>
      <c r="E176" s="67"/>
      <c r="F176" s="64">
        <f>$F$56</f>
        <v>249</v>
      </c>
      <c r="G176" s="154" t="str">
        <f>IF(G$56="","",G$56)</f>
        <v>B</v>
      </c>
      <c r="H176" s="65" t="str">
        <f>IF($H$56="","",$H$56)</f>
        <v>Spesen Vermögensverwaltung</v>
      </c>
      <c r="I176" s="66">
        <f t="shared" ca="1" si="5"/>
        <v>0</v>
      </c>
    </row>
    <row r="177" spans="1:19" ht="13.5" customHeight="1" thickBot="1">
      <c r="A177" s="64">
        <f>$A$57</f>
        <v>150</v>
      </c>
      <c r="B177" s="154" t="str">
        <f>IF(B$57="","",B$57)</f>
        <v>B</v>
      </c>
      <c r="C177" s="65" t="str">
        <f>IF($C$57="","",$C$57)</f>
        <v>Zinsen, Zinssteuererstattungen</v>
      </c>
      <c r="D177" s="66">
        <f t="shared" ca="1" si="4"/>
        <v>0</v>
      </c>
      <c r="E177" s="67"/>
      <c r="F177" s="64">
        <f>$F$57</f>
        <v>250</v>
      </c>
      <c r="G177" s="154" t="str">
        <f>IF(G$57="","",G$57)</f>
        <v>B</v>
      </c>
      <c r="H177" s="65" t="str">
        <f>IF($H$57="","",$H$57)</f>
        <v>Steuern</v>
      </c>
      <c r="I177" s="66">
        <f t="shared" ca="1" si="5"/>
        <v>0</v>
      </c>
      <c r="L177" s="119">
        <f ca="1">L129+L134+L139+L144+L149+L154+L159+L164+L169+L174</f>
        <v>0</v>
      </c>
      <c r="M177" s="120" t="s">
        <v>111</v>
      </c>
      <c r="N177" s="121">
        <f ca="1">N129+N134+N139+N144+N149+N154+N159+N164+N169+N174</f>
        <v>0</v>
      </c>
      <c r="Q177" s="119">
        <f ca="1">Q129+Q134+Q139+Q144+Q149+Q154+Q159+Q164+Q169+Q174</f>
        <v>0</v>
      </c>
      <c r="R177" s="120" t="s">
        <v>111</v>
      </c>
      <c r="S177" s="121">
        <f ca="1">S129+S134+S139+S144+S149+S154+S159+S164+S169+S174</f>
        <v>0</v>
      </c>
    </row>
    <row r="178" spans="1:19" ht="13.5" customHeight="1" thickTop="1" thickBot="1">
      <c r="A178" s="68" t="s">
        <v>38</v>
      </c>
      <c r="B178" s="91"/>
      <c r="C178" s="69"/>
      <c r="D178" s="70">
        <f ca="1">SUM(D127:D177)</f>
        <v>0</v>
      </c>
      <c r="F178" s="68" t="s">
        <v>39</v>
      </c>
      <c r="G178" s="91"/>
      <c r="H178" s="69"/>
      <c r="I178" s="70">
        <f ca="1">SUM(I127:I177)</f>
        <v>0</v>
      </c>
      <c r="L178" s="117">
        <f ca="1">$D$178</f>
        <v>0</v>
      </c>
      <c r="M178" s="41" t="s">
        <v>110</v>
      </c>
      <c r="N178" s="116">
        <f ca="1">$I$178</f>
        <v>0</v>
      </c>
      <c r="Q178" s="117">
        <f ca="1">$D$178</f>
        <v>0</v>
      </c>
      <c r="R178" s="41" t="s">
        <v>110</v>
      </c>
      <c r="S178" s="116">
        <f ca="1">$I$178</f>
        <v>0</v>
      </c>
    </row>
    <row r="179" spans="1:19" ht="13.5" customHeight="1" thickTop="1">
      <c r="A179" s="71" t="s">
        <v>109</v>
      </c>
      <c r="B179" s="92"/>
      <c r="C179" s="72"/>
      <c r="D179" s="148">
        <f ca="1">März!$E$7</f>
        <v>0</v>
      </c>
      <c r="F179" s="71" t="s">
        <v>109</v>
      </c>
      <c r="G179" s="92"/>
      <c r="H179" s="72"/>
      <c r="I179" s="148">
        <f ca="1">März!$G$7</f>
        <v>0</v>
      </c>
      <c r="L179" s="114">
        <f ca="1">L129+L134+L139+L144+L149+L154+L159+L164+L169+L174+SUMIF($B$127:$B$177,"",$D$127:$D$177)</f>
        <v>0</v>
      </c>
      <c r="M179" s="115" t="s">
        <v>107</v>
      </c>
      <c r="N179" s="114">
        <f ca="1">N129+N134+N139+N144+N149+N154+N159+N164+N169+N174+SUMIF($G$127:$G$177,"",$I$127:$I$177)</f>
        <v>0</v>
      </c>
      <c r="Q179" s="114">
        <f ca="1">Q129+Q134+Q139+Q144+Q149+Q154+Q159+Q164+Q169+Q174+SUMIF($B$127:$B$177,"",$D$127:$D$177)</f>
        <v>0</v>
      </c>
      <c r="R179" s="115" t="s">
        <v>107</v>
      </c>
      <c r="S179" s="114">
        <f ca="1">S129+S134+S139+S144+S149+S154+S159+S164+S169+S174+SUMIF($G$127:$G$177,"",$I$127:$I$177)</f>
        <v>0</v>
      </c>
    </row>
    <row r="180" spans="1:19" ht="13.5" customHeight="1"/>
    <row r="181" spans="1:19" ht="15.95" customHeight="1">
      <c r="A181" s="57" t="str">
        <f>$A$1</f>
        <v>Einnahmen und Ausgaben nach Kategorien</v>
      </c>
      <c r="B181" s="33"/>
      <c r="C181" s="58"/>
      <c r="D181" s="58"/>
      <c r="E181" s="58"/>
      <c r="F181" s="58"/>
      <c r="G181" s="34"/>
      <c r="H181" s="58"/>
      <c r="I181" s="59" t="str">
        <f>CONCATENATE("April ",$A$2)</f>
        <v xml:space="preserve">April </v>
      </c>
      <c r="L181" s="33" t="str">
        <f>CONCATENATE("Kategoriengruppen April ",$A$2)</f>
        <v xml:space="preserve">Kategoriengruppen April </v>
      </c>
      <c r="Q181" s="33" t="str">
        <f>CONCATENATE("Kategoriengruppen April ",$A$2)</f>
        <v xml:space="preserve">Kategoriengruppen April </v>
      </c>
    </row>
    <row r="182" spans="1:19" ht="13.5" customHeight="1"/>
    <row r="183" spans="1:19" ht="13.5" customHeight="1"/>
    <row r="184" spans="1:19" ht="13.5" customHeight="1">
      <c r="A184" s="60" t="s">
        <v>40</v>
      </c>
      <c r="B184" s="39"/>
      <c r="C184" s="60"/>
      <c r="D184" s="60"/>
      <c r="F184" s="60" t="s">
        <v>41</v>
      </c>
      <c r="G184" s="39"/>
      <c r="H184" s="60"/>
      <c r="I184" s="60"/>
      <c r="L184" s="39" t="s">
        <v>84</v>
      </c>
      <c r="M184" s="103" t="s">
        <v>106</v>
      </c>
      <c r="N184" s="39" t="s">
        <v>85</v>
      </c>
      <c r="Q184" s="39" t="s">
        <v>84</v>
      </c>
      <c r="R184" s="103" t="s">
        <v>106</v>
      </c>
      <c r="S184" s="39" t="s">
        <v>85</v>
      </c>
    </row>
    <row r="185" spans="1:19" ht="13.5" customHeight="1" thickBot="1"/>
    <row r="186" spans="1:19" ht="13.5" customHeight="1" thickTop="1" thickBot="1">
      <c r="A186" s="61" t="s">
        <v>24</v>
      </c>
      <c r="B186" s="90" t="s">
        <v>82</v>
      </c>
      <c r="C186" s="62" t="s">
        <v>25</v>
      </c>
      <c r="D186" s="63" t="str">
        <f>$D$6</f>
        <v>CHF</v>
      </c>
      <c r="F186" s="61" t="s">
        <v>24</v>
      </c>
      <c r="G186" s="90" t="s">
        <v>82</v>
      </c>
      <c r="H186" s="62" t="s">
        <v>25</v>
      </c>
      <c r="I186" s="63" t="str">
        <f>$D$6</f>
        <v>CHF</v>
      </c>
    </row>
    <row r="187" spans="1:19" ht="13.5" customHeight="1" thickTop="1">
      <c r="A187" s="64">
        <f>$A$7</f>
        <v>100</v>
      </c>
      <c r="B187" s="153" t="str">
        <f>IF(B$7="","",B$7)</f>
        <v>A</v>
      </c>
      <c r="C187" s="65" t="str">
        <f>IF($C$7="","",$C$7)</f>
        <v>Ladenverkauf</v>
      </c>
      <c r="D187" s="66">
        <f ca="1">IF(C187="","",SUMIF(INDIRECT("April!$D$15:$D$16000"),A187,INDIRECT("April!$E$15:$E$16000")))</f>
        <v>0</v>
      </c>
      <c r="E187" s="67"/>
      <c r="F187" s="64">
        <f>$F$7</f>
        <v>200</v>
      </c>
      <c r="G187" s="153" t="str">
        <f>IF(G$7="","",G$7)</f>
        <v>A</v>
      </c>
      <c r="H187" s="65" t="str">
        <f>IF($H$7="","",$H$7)</f>
        <v>Maschinen und Geräte</v>
      </c>
      <c r="I187" s="66">
        <f ca="1">IF(H187="","",SUMIF(INDIRECT("April!$F$15:$F$16000"),F187,INDIRECT("April!$G$15:$G$16000")))</f>
        <v>0</v>
      </c>
      <c r="L187" s="95" t="s">
        <v>83</v>
      </c>
      <c r="N187" s="95" t="s">
        <v>104</v>
      </c>
      <c r="Q187" s="95" t="s">
        <v>83</v>
      </c>
      <c r="S187" s="95" t="s">
        <v>104</v>
      </c>
    </row>
    <row r="188" spans="1:19" ht="13.5" customHeight="1">
      <c r="A188" s="64">
        <f>$A$8</f>
        <v>101</v>
      </c>
      <c r="B188" s="153" t="str">
        <f>IF(B$8="","",B$8)</f>
        <v>A</v>
      </c>
      <c r="C188" s="65" t="str">
        <f>IF($C$8="","",$C$8)</f>
        <v>Verkauf über Internet</v>
      </c>
      <c r="D188" s="66">
        <f t="shared" ref="D188:D237" ca="1" si="6">IF(C188="","",SUMIF(INDIRECT("April!$D$15:$D$16000"),A188,INDIRECT("April!$E$15:$E$16000")))</f>
        <v>0</v>
      </c>
      <c r="E188" s="67"/>
      <c r="F188" s="64">
        <f>$F$8</f>
        <v>201</v>
      </c>
      <c r="G188" s="153" t="str">
        <f>IF(G$8="","",G$8)</f>
        <v>A</v>
      </c>
      <c r="H188" s="65" t="str">
        <f>IF($H$8="","",$H$8)</f>
        <v>Ladenmiete</v>
      </c>
      <c r="I188" s="66">
        <f t="shared" ref="I188:I237" ca="1" si="7">IF(H188="","",SUMIF(INDIRECT("April!$F$15:$F$16000"),F188,INDIRECT("April!$G$15:$G$16000")))</f>
        <v>0</v>
      </c>
      <c r="L188" s="112" t="str">
        <f>IF(L$8="","",L$8)</f>
        <v>Landwirtschaft</v>
      </c>
      <c r="N188" s="112" t="str">
        <f>IF(N$8="","",N$8)</f>
        <v>Landwirtschaft</v>
      </c>
      <c r="Q188" s="112" t="str">
        <f>IF(Q$8="","",Q$8)</f>
        <v/>
      </c>
      <c r="S188" s="112" t="str">
        <f>IF(S$8="","",S$8)</f>
        <v/>
      </c>
    </row>
    <row r="189" spans="1:19" ht="13.5" customHeight="1" thickBot="1">
      <c r="A189" s="64">
        <f>$A$9</f>
        <v>102</v>
      </c>
      <c r="B189" s="93" t="str">
        <f>IF(B$9="","",B$9)</f>
        <v/>
      </c>
      <c r="C189" s="65" t="str">
        <f>IF($C$9="","",$C$9)</f>
        <v/>
      </c>
      <c r="D189" s="66" t="str">
        <f t="shared" ca="1" si="6"/>
        <v/>
      </c>
      <c r="E189" s="67"/>
      <c r="F189" s="64">
        <f>$F$9</f>
        <v>202</v>
      </c>
      <c r="G189" s="153" t="str">
        <f>IF(G$9="","",G$9)</f>
        <v>A</v>
      </c>
      <c r="H189" s="65" t="str">
        <f>IF($H$9="","",$H$9)</f>
        <v>Werbeausgaben</v>
      </c>
      <c r="I189" s="66">
        <f t="shared" ca="1" si="7"/>
        <v>0</v>
      </c>
      <c r="L189" s="105">
        <f ca="1">SUMIF($B$187:$B$237,"A",$D$187:$D$237)</f>
        <v>0</v>
      </c>
      <c r="M189" s="104">
        <f ca="1">L189+N189</f>
        <v>0</v>
      </c>
      <c r="N189" s="106">
        <f ca="1">SUMIF($G$187:$G$237,"A",$I$187:$I$237)</f>
        <v>0</v>
      </c>
      <c r="Q189" s="105">
        <f ca="1">SUMIF($B$187:$B$237,"A",$D$187:$D$237)</f>
        <v>0</v>
      </c>
      <c r="R189" s="104">
        <f ca="1">Q189+S189</f>
        <v>0</v>
      </c>
      <c r="S189" s="106">
        <f ca="1">SUMIF($G$187:$G$237,"A",$I$187:$I$237)</f>
        <v>0</v>
      </c>
    </row>
    <row r="190" spans="1:19" ht="13.5" customHeight="1">
      <c r="A190" s="64">
        <f>$A$10</f>
        <v>103</v>
      </c>
      <c r="B190" s="93" t="str">
        <f>IF(B$10="","",B$10)</f>
        <v/>
      </c>
      <c r="C190" s="65" t="str">
        <f>IF($C$10="","",$C$10)</f>
        <v/>
      </c>
      <c r="D190" s="66" t="str">
        <f t="shared" ca="1" si="6"/>
        <v/>
      </c>
      <c r="E190" s="67"/>
      <c r="F190" s="64">
        <f>$F$10</f>
        <v>203</v>
      </c>
      <c r="G190" s="153" t="str">
        <f>IF(G$10="","",G$10)</f>
        <v>A</v>
      </c>
      <c r="H190" s="65" t="str">
        <f>IF($H$10="","",$H$10)</f>
        <v>Löhne</v>
      </c>
      <c r="I190" s="66">
        <f t="shared" ca="1" si="7"/>
        <v>0</v>
      </c>
    </row>
    <row r="191" spans="1:19" ht="13.5" customHeight="1" thickBot="1">
      <c r="A191" s="64">
        <f>$A$11</f>
        <v>104</v>
      </c>
      <c r="B191" s="93" t="str">
        <f>IF(B$11="","",B$11)</f>
        <v/>
      </c>
      <c r="C191" s="65" t="str">
        <f>IF($C$11="","",$C$11)</f>
        <v/>
      </c>
      <c r="D191" s="66" t="str">
        <f t="shared" ca="1" si="6"/>
        <v/>
      </c>
      <c r="E191" s="67"/>
      <c r="F191" s="64">
        <f>$F$11</f>
        <v>204</v>
      </c>
      <c r="G191" s="93" t="str">
        <f>IF(G$11="","",G$11)</f>
        <v/>
      </c>
      <c r="H191" s="65" t="str">
        <f>IF($H$11="","",$H$11)</f>
        <v/>
      </c>
      <c r="I191" s="66" t="str">
        <f t="shared" ca="1" si="7"/>
        <v/>
      </c>
    </row>
    <row r="192" spans="1:19" ht="13.5" customHeight="1">
      <c r="A192" s="64">
        <f>$A$12</f>
        <v>105</v>
      </c>
      <c r="B192" s="93" t="str">
        <f>IF(B$12="","",B$12)</f>
        <v/>
      </c>
      <c r="C192" s="65" t="str">
        <f>IF($C$12="","",$C$12)</f>
        <v/>
      </c>
      <c r="D192" s="66" t="str">
        <f t="shared" ca="1" si="6"/>
        <v/>
      </c>
      <c r="E192" s="67"/>
      <c r="F192" s="64">
        <f>$F$12</f>
        <v>205</v>
      </c>
      <c r="G192" s="93" t="str">
        <f>IF(G$12="","",G$12)</f>
        <v/>
      </c>
      <c r="H192" s="65" t="str">
        <f>IF($H$12="","",$H$12)</f>
        <v/>
      </c>
      <c r="I192" s="66" t="str">
        <f t="shared" ca="1" si="7"/>
        <v/>
      </c>
      <c r="L192" s="96" t="s">
        <v>86</v>
      </c>
      <c r="N192" s="96" t="s">
        <v>95</v>
      </c>
      <c r="Q192" s="96" t="s">
        <v>86</v>
      </c>
      <c r="S192" s="96" t="s">
        <v>95</v>
      </c>
    </row>
    <row r="193" spans="1:19" ht="13.5" customHeight="1">
      <c r="A193" s="64">
        <f>$A$13</f>
        <v>106</v>
      </c>
      <c r="B193" s="93" t="str">
        <f>IF(B$13="","",B$13)</f>
        <v/>
      </c>
      <c r="C193" s="65" t="str">
        <f>IF($C$13="","",$C$13)</f>
        <v/>
      </c>
      <c r="D193" s="66" t="str">
        <f t="shared" ca="1" si="6"/>
        <v/>
      </c>
      <c r="E193" s="67"/>
      <c r="F193" s="64">
        <f>$F$13</f>
        <v>206</v>
      </c>
      <c r="G193" s="93" t="str">
        <f>IF(G$13="","",G$13)</f>
        <v/>
      </c>
      <c r="H193" s="65" t="str">
        <f>IF($H$13="","",$H$13)</f>
        <v/>
      </c>
      <c r="I193" s="66" t="str">
        <f t="shared" ca="1" si="7"/>
        <v/>
      </c>
      <c r="L193" s="112" t="str">
        <f>IF(L$13="","",L$13)</f>
        <v>Privat</v>
      </c>
      <c r="N193" s="112" t="str">
        <f>IF(N$13="","",N$13)</f>
        <v>Privat</v>
      </c>
      <c r="Q193" s="112" t="str">
        <f>IF(Q$13="","",Q$13)</f>
        <v/>
      </c>
      <c r="S193" s="112" t="str">
        <f>IF(S$13="","",S$13)</f>
        <v/>
      </c>
    </row>
    <row r="194" spans="1:19" ht="13.5" customHeight="1" thickBot="1">
      <c r="A194" s="64">
        <f>$A$14</f>
        <v>107</v>
      </c>
      <c r="B194" s="93" t="str">
        <f>IF(B$14="","",B$14)</f>
        <v/>
      </c>
      <c r="C194" s="65" t="str">
        <f>IF($C$14="","",$C$14)</f>
        <v/>
      </c>
      <c r="D194" s="66" t="str">
        <f t="shared" ca="1" si="6"/>
        <v/>
      </c>
      <c r="E194" s="67"/>
      <c r="F194" s="64">
        <f>$F$14</f>
        <v>207</v>
      </c>
      <c r="G194" s="93" t="str">
        <f>IF(G$14="","",G$14)</f>
        <v/>
      </c>
      <c r="H194" s="65" t="str">
        <f>IF($H$14="","",$H$14)</f>
        <v/>
      </c>
      <c r="I194" s="66" t="str">
        <f t="shared" ca="1" si="7"/>
        <v/>
      </c>
      <c r="L194" s="105">
        <f ca="1">SUMIF($B$187:$B$237,"B",$D$187:$D$237)</f>
        <v>0</v>
      </c>
      <c r="M194" s="104">
        <f ca="1">L194+N194</f>
        <v>0</v>
      </c>
      <c r="N194" s="106">
        <f ca="1">SUMIF($G$187:$G$237,"B",$I$187:$I$237)</f>
        <v>0</v>
      </c>
      <c r="Q194" s="105">
        <f ca="1">SUMIF($B$187:$B$237,"B",$D$187:$D$237)</f>
        <v>0</v>
      </c>
      <c r="R194" s="104">
        <f ca="1">Q194+S194</f>
        <v>0</v>
      </c>
      <c r="S194" s="106">
        <f ca="1">SUMIF($G$187:$G$237,"B",$I$187:$I$237)</f>
        <v>0</v>
      </c>
    </row>
    <row r="195" spans="1:19" ht="13.5" customHeight="1">
      <c r="A195" s="64">
        <f>$A$15</f>
        <v>108</v>
      </c>
      <c r="B195" s="93" t="str">
        <f>IF(B$15="","",B$15)</f>
        <v/>
      </c>
      <c r="C195" s="65" t="str">
        <f>IF($C$15="","",$C$15)</f>
        <v/>
      </c>
      <c r="D195" s="66" t="str">
        <f t="shared" ca="1" si="6"/>
        <v/>
      </c>
      <c r="E195" s="67"/>
      <c r="F195" s="64">
        <f>$F$15</f>
        <v>208</v>
      </c>
      <c r="G195" s="93" t="str">
        <f>IF(G$15="","",G$15)</f>
        <v/>
      </c>
      <c r="H195" s="65" t="str">
        <f>IF($H$15="","",$H$15)</f>
        <v/>
      </c>
      <c r="I195" s="66" t="str">
        <f t="shared" ca="1" si="7"/>
        <v/>
      </c>
    </row>
    <row r="196" spans="1:19" ht="13.5" customHeight="1" thickBot="1">
      <c r="A196" s="64">
        <f>$A$16</f>
        <v>109</v>
      </c>
      <c r="B196" s="93" t="str">
        <f>IF(B$16="","",B$16)</f>
        <v/>
      </c>
      <c r="C196" s="65" t="str">
        <f>IF($C$16="","",$C$16)</f>
        <v/>
      </c>
      <c r="D196" s="66" t="str">
        <f t="shared" ca="1" si="6"/>
        <v/>
      </c>
      <c r="E196" s="67"/>
      <c r="F196" s="64">
        <f>$F$16</f>
        <v>209</v>
      </c>
      <c r="G196" s="93" t="str">
        <f>IF(G$16="","",G$16)</f>
        <v/>
      </c>
      <c r="H196" s="65" t="str">
        <f>IF($H$16="","",$H$16)</f>
        <v/>
      </c>
      <c r="I196" s="66" t="str">
        <f t="shared" ca="1" si="7"/>
        <v/>
      </c>
    </row>
    <row r="197" spans="1:19" ht="13.5" customHeight="1">
      <c r="A197" s="64">
        <f>$A$17</f>
        <v>110</v>
      </c>
      <c r="B197" s="93" t="str">
        <f>IF(B$17="","",B$17)</f>
        <v/>
      </c>
      <c r="C197" s="65" t="str">
        <f>IF($C$17="","",$C$17)</f>
        <v/>
      </c>
      <c r="D197" s="66" t="str">
        <f t="shared" ca="1" si="6"/>
        <v/>
      </c>
      <c r="E197" s="67"/>
      <c r="F197" s="64">
        <f>$F$17</f>
        <v>210</v>
      </c>
      <c r="G197" s="93" t="str">
        <f>IF(G$17="","",G$17)</f>
        <v/>
      </c>
      <c r="H197" s="65" t="str">
        <f>IF($H$17="","",$H$17)</f>
        <v/>
      </c>
      <c r="I197" s="66" t="str">
        <f t="shared" ca="1" si="7"/>
        <v/>
      </c>
      <c r="Q197" s="109" t="s">
        <v>87</v>
      </c>
      <c r="S197" s="109" t="s">
        <v>96</v>
      </c>
    </row>
    <row r="198" spans="1:19" ht="13.5" customHeight="1">
      <c r="A198" s="64">
        <f>$A$18</f>
        <v>111</v>
      </c>
      <c r="B198" s="93" t="str">
        <f>IF(B$18="","",B$18)</f>
        <v/>
      </c>
      <c r="C198" s="65" t="str">
        <f>IF($C$18="","",$C$18)</f>
        <v/>
      </c>
      <c r="D198" s="66" t="str">
        <f t="shared" ca="1" si="6"/>
        <v/>
      </c>
      <c r="E198" s="67"/>
      <c r="F198" s="64">
        <f>$F$18</f>
        <v>211</v>
      </c>
      <c r="G198" s="93" t="str">
        <f>IF(G$18="","",G$18)</f>
        <v/>
      </c>
      <c r="H198" s="65" t="str">
        <f>IF($H$18="","",$H$18)</f>
        <v/>
      </c>
      <c r="I198" s="66" t="str">
        <f t="shared" ca="1" si="7"/>
        <v/>
      </c>
      <c r="Q198" s="112" t="str">
        <f>IF(Q$18="","",Q$18)</f>
        <v/>
      </c>
      <c r="S198" s="112" t="str">
        <f>IF(S$18="","",S$18)</f>
        <v/>
      </c>
    </row>
    <row r="199" spans="1:19" ht="13.5" customHeight="1" thickBot="1">
      <c r="A199" s="64">
        <f>$A$19</f>
        <v>112</v>
      </c>
      <c r="B199" s="93" t="str">
        <f>IF(B$19="","",B$19)</f>
        <v/>
      </c>
      <c r="C199" s="65" t="str">
        <f>IF($C$19="","",$C$19)</f>
        <v/>
      </c>
      <c r="D199" s="66" t="str">
        <f t="shared" ca="1" si="6"/>
        <v/>
      </c>
      <c r="E199" s="67"/>
      <c r="F199" s="64">
        <f>$F$19</f>
        <v>212</v>
      </c>
      <c r="G199" s="93" t="str">
        <f>IF(G$19="","",G$19)</f>
        <v/>
      </c>
      <c r="H199" s="65" t="str">
        <f>IF($H$19="","",$H$19)</f>
        <v/>
      </c>
      <c r="I199" s="66" t="str">
        <f t="shared" ca="1" si="7"/>
        <v/>
      </c>
      <c r="Q199" s="105">
        <f>SUMIF($B$187:$B$237,"C",$D$187:$D$237)</f>
        <v>0</v>
      </c>
      <c r="R199" s="104">
        <f>Q199+S199</f>
        <v>0</v>
      </c>
      <c r="S199" s="106">
        <f>SUMIF($G$187:$G$237,"C",$I$187:$I$237)</f>
        <v>0</v>
      </c>
    </row>
    <row r="200" spans="1:19" ht="13.5" customHeight="1">
      <c r="A200" s="64">
        <f>$A$20</f>
        <v>113</v>
      </c>
      <c r="B200" s="93" t="str">
        <f>IF(B$20="","",B$20)</f>
        <v/>
      </c>
      <c r="C200" s="65" t="str">
        <f>IF($C$20="","",$C$20)</f>
        <v/>
      </c>
      <c r="D200" s="66" t="str">
        <f t="shared" ca="1" si="6"/>
        <v/>
      </c>
      <c r="E200" s="67"/>
      <c r="F200" s="64">
        <f>$F$20</f>
        <v>213</v>
      </c>
      <c r="G200" s="93" t="str">
        <f>IF(G$20="","",G$20)</f>
        <v/>
      </c>
      <c r="H200" s="65" t="str">
        <f>IF($H$20="","",$H$20)</f>
        <v/>
      </c>
      <c r="I200" s="66" t="str">
        <f t="shared" ca="1" si="7"/>
        <v/>
      </c>
    </row>
    <row r="201" spans="1:19" ht="13.5" customHeight="1" thickBot="1">
      <c r="A201" s="64">
        <f>$A$21</f>
        <v>114</v>
      </c>
      <c r="B201" s="93" t="str">
        <f>IF(B$21="","",B$21)</f>
        <v/>
      </c>
      <c r="C201" s="65" t="str">
        <f>IF($C$21="","",$C$21)</f>
        <v/>
      </c>
      <c r="D201" s="66" t="str">
        <f t="shared" ca="1" si="6"/>
        <v/>
      </c>
      <c r="E201" s="67"/>
      <c r="F201" s="64">
        <f>$F$21</f>
        <v>214</v>
      </c>
      <c r="G201" s="93" t="str">
        <f>IF(G$21="","",G$21)</f>
        <v/>
      </c>
      <c r="H201" s="65" t="str">
        <f>IF($H$21="","",$H$21)</f>
        <v/>
      </c>
      <c r="I201" s="66" t="str">
        <f t="shared" ca="1" si="7"/>
        <v/>
      </c>
    </row>
    <row r="202" spans="1:19" ht="13.5" customHeight="1">
      <c r="A202" s="64">
        <f>$A$22</f>
        <v>115</v>
      </c>
      <c r="B202" s="93" t="str">
        <f>IF(B$22="","",B$22)</f>
        <v/>
      </c>
      <c r="C202" s="65" t="str">
        <f>IF($C$22="","",$C$22)</f>
        <v/>
      </c>
      <c r="D202" s="66" t="str">
        <f t="shared" ca="1" si="6"/>
        <v/>
      </c>
      <c r="E202" s="67"/>
      <c r="F202" s="64">
        <f>$F$22</f>
        <v>215</v>
      </c>
      <c r="G202" s="93" t="str">
        <f>IF(G$22="","",G$22)</f>
        <v/>
      </c>
      <c r="H202" s="65" t="str">
        <f>IF($H$22="","",$H$22)</f>
        <v/>
      </c>
      <c r="I202" s="66" t="str">
        <f t="shared" ca="1" si="7"/>
        <v/>
      </c>
      <c r="Q202" s="97" t="s">
        <v>88</v>
      </c>
      <c r="S202" s="97" t="s">
        <v>97</v>
      </c>
    </row>
    <row r="203" spans="1:19" ht="13.5" customHeight="1">
      <c r="A203" s="64">
        <f>$A$23</f>
        <v>116</v>
      </c>
      <c r="B203" s="93" t="str">
        <f>IF(B$23="","",B$23)</f>
        <v/>
      </c>
      <c r="C203" s="65" t="str">
        <f>IF($C$23="","",$C$23)</f>
        <v/>
      </c>
      <c r="D203" s="66" t="str">
        <f t="shared" ca="1" si="6"/>
        <v/>
      </c>
      <c r="E203" s="67"/>
      <c r="F203" s="64">
        <f>$F$23</f>
        <v>216</v>
      </c>
      <c r="G203" s="93" t="str">
        <f>IF(G$23="","",G$23)</f>
        <v/>
      </c>
      <c r="H203" s="65" t="str">
        <f>IF($H$23="","",$H$23)</f>
        <v/>
      </c>
      <c r="I203" s="66" t="str">
        <f t="shared" ca="1" si="7"/>
        <v/>
      </c>
      <c r="Q203" s="112" t="str">
        <f>IF(Q$23="","",Q$23)</f>
        <v/>
      </c>
      <c r="S203" s="112" t="str">
        <f>IF(S$23="","",S$23)</f>
        <v/>
      </c>
    </row>
    <row r="204" spans="1:19" ht="13.5" customHeight="1" thickBot="1">
      <c r="A204" s="64">
        <f>$A$24</f>
        <v>117</v>
      </c>
      <c r="B204" s="93" t="str">
        <f>IF(B$24="","",B$24)</f>
        <v/>
      </c>
      <c r="C204" s="65" t="str">
        <f>IF($C$24="","",$C$24)</f>
        <v/>
      </c>
      <c r="D204" s="66" t="str">
        <f t="shared" ca="1" si="6"/>
        <v/>
      </c>
      <c r="E204" s="67"/>
      <c r="F204" s="64">
        <f>$F$24</f>
        <v>217</v>
      </c>
      <c r="G204" s="93" t="str">
        <f>IF(G$24="","",G$24)</f>
        <v/>
      </c>
      <c r="H204" s="65" t="str">
        <f>IF($H$24="","",$H$24)</f>
        <v/>
      </c>
      <c r="I204" s="66" t="str">
        <f t="shared" ca="1" si="7"/>
        <v/>
      </c>
      <c r="Q204" s="105">
        <f>SUMIF($B$187:$B$237,"D",$D$187:$D$237)</f>
        <v>0</v>
      </c>
      <c r="R204" s="104">
        <f>Q204+S204</f>
        <v>0</v>
      </c>
      <c r="S204" s="106">
        <f>SUMIF($G$187:$G$237,"D",$I$187:$I$237)</f>
        <v>0</v>
      </c>
    </row>
    <row r="205" spans="1:19" ht="13.5" customHeight="1">
      <c r="A205" s="64">
        <f>$A$25</f>
        <v>118</v>
      </c>
      <c r="B205" s="93" t="str">
        <f>IF(B$25="","",B$25)</f>
        <v/>
      </c>
      <c r="C205" s="65" t="str">
        <f>IF($C$25="","",$C$25)</f>
        <v/>
      </c>
      <c r="D205" s="66" t="str">
        <f t="shared" ca="1" si="6"/>
        <v/>
      </c>
      <c r="E205" s="67"/>
      <c r="F205" s="64">
        <f>$F$25</f>
        <v>218</v>
      </c>
      <c r="G205" s="93" t="str">
        <f>IF(G$25="","",G$25)</f>
        <v/>
      </c>
      <c r="H205" s="65" t="str">
        <f>IF($H$25="","",$H$25)</f>
        <v/>
      </c>
      <c r="I205" s="66" t="str">
        <f t="shared" ca="1" si="7"/>
        <v/>
      </c>
    </row>
    <row r="206" spans="1:19" ht="13.5" customHeight="1" thickBot="1">
      <c r="A206" s="64">
        <f>$A$26</f>
        <v>119</v>
      </c>
      <c r="B206" s="93" t="str">
        <f>IF(B$26="","",B$26)</f>
        <v/>
      </c>
      <c r="C206" s="65" t="str">
        <f>IF($C$26="","",$C$26)</f>
        <v/>
      </c>
      <c r="D206" s="66" t="str">
        <f t="shared" ca="1" si="6"/>
        <v/>
      </c>
      <c r="E206" s="67"/>
      <c r="F206" s="64">
        <f>$F$26</f>
        <v>219</v>
      </c>
      <c r="G206" s="93" t="str">
        <f>IF(G$26="","",G$26)</f>
        <v/>
      </c>
      <c r="H206" s="65" t="str">
        <f>IF($H$26="","",$H$26)</f>
        <v/>
      </c>
      <c r="I206" s="66" t="str">
        <f t="shared" ca="1" si="7"/>
        <v/>
      </c>
    </row>
    <row r="207" spans="1:19" ht="13.5" customHeight="1">
      <c r="A207" s="64">
        <f>$A$27</f>
        <v>120</v>
      </c>
      <c r="B207" s="93" t="str">
        <f>IF(B$27="","",B$27)</f>
        <v/>
      </c>
      <c r="C207" s="65" t="str">
        <f>IF($C$27="","",$C$27)</f>
        <v/>
      </c>
      <c r="D207" s="66" t="str">
        <f t="shared" ca="1" si="6"/>
        <v/>
      </c>
      <c r="E207" s="67"/>
      <c r="F207" s="64">
        <f>$F$27</f>
        <v>220</v>
      </c>
      <c r="G207" s="93" t="str">
        <f>IF(G$27="","",G$27)</f>
        <v/>
      </c>
      <c r="H207" s="65" t="str">
        <f>IF($H$27="","",$H$27)</f>
        <v/>
      </c>
      <c r="I207" s="66" t="str">
        <f t="shared" ca="1" si="7"/>
        <v/>
      </c>
      <c r="Q207" s="110" t="s">
        <v>89</v>
      </c>
      <c r="S207" s="110" t="s">
        <v>98</v>
      </c>
    </row>
    <row r="208" spans="1:19" ht="13.5" customHeight="1">
      <c r="A208" s="64">
        <f>$A$28</f>
        <v>121</v>
      </c>
      <c r="B208" s="93" t="str">
        <f>IF(B$28="","",B$28)</f>
        <v/>
      </c>
      <c r="C208" s="65" t="str">
        <f>IF($C$28="","",$C$28)</f>
        <v/>
      </c>
      <c r="D208" s="66" t="str">
        <f t="shared" ca="1" si="6"/>
        <v/>
      </c>
      <c r="E208" s="67"/>
      <c r="F208" s="64">
        <f>$F$28</f>
        <v>221</v>
      </c>
      <c r="G208" s="93" t="str">
        <f>IF(G$28="","",G$28)</f>
        <v/>
      </c>
      <c r="H208" s="65" t="str">
        <f>IF($H$28="","",$H$28)</f>
        <v/>
      </c>
      <c r="I208" s="66" t="str">
        <f t="shared" ca="1" si="7"/>
        <v/>
      </c>
      <c r="Q208" s="112" t="str">
        <f>IF(Q$28="","",Q$28)</f>
        <v/>
      </c>
      <c r="S208" s="112" t="str">
        <f>IF(S$28="","",S$28)</f>
        <v/>
      </c>
    </row>
    <row r="209" spans="1:19" ht="13.5" customHeight="1" thickBot="1">
      <c r="A209" s="64">
        <f>$A$29</f>
        <v>122</v>
      </c>
      <c r="B209" s="93" t="str">
        <f>IF(B$29="","",B$29)</f>
        <v/>
      </c>
      <c r="C209" s="65" t="str">
        <f>IF($C$29="","",$C$29)</f>
        <v/>
      </c>
      <c r="D209" s="66" t="str">
        <f t="shared" ca="1" si="6"/>
        <v/>
      </c>
      <c r="E209" s="67"/>
      <c r="F209" s="64">
        <f>$F$29</f>
        <v>222</v>
      </c>
      <c r="G209" s="93" t="str">
        <f>IF(G$29="","",G$29)</f>
        <v/>
      </c>
      <c r="H209" s="65" t="str">
        <f>IF($H$29="","",$H$29)</f>
        <v/>
      </c>
      <c r="I209" s="66" t="str">
        <f t="shared" ca="1" si="7"/>
        <v/>
      </c>
      <c r="Q209" s="105">
        <f>SUMIF($B$187:$B$237,"E",$D$187:$D$237)</f>
        <v>0</v>
      </c>
      <c r="R209" s="104">
        <f>Q209+S209</f>
        <v>0</v>
      </c>
      <c r="S209" s="106">
        <f>SUMIF($G$187:$G$237,"E",$I$187:$I$237)</f>
        <v>0</v>
      </c>
    </row>
    <row r="210" spans="1:19" ht="13.5" customHeight="1">
      <c r="A210" s="64">
        <f>$A$30</f>
        <v>123</v>
      </c>
      <c r="B210" s="93" t="str">
        <f>IF(B$30="","",B$30)</f>
        <v/>
      </c>
      <c r="C210" s="65" t="str">
        <f>IF($C$30="","",$C$30)</f>
        <v/>
      </c>
      <c r="D210" s="66" t="str">
        <f t="shared" ca="1" si="6"/>
        <v/>
      </c>
      <c r="E210" s="67"/>
      <c r="F210" s="64">
        <f>$F$30</f>
        <v>223</v>
      </c>
      <c r="G210" s="93" t="str">
        <f>IF(G$30="","",G$30)</f>
        <v/>
      </c>
      <c r="H210" s="65" t="str">
        <f>IF($H$30="","",$H$30)</f>
        <v/>
      </c>
      <c r="I210" s="66" t="str">
        <f t="shared" ca="1" si="7"/>
        <v/>
      </c>
    </row>
    <row r="211" spans="1:19" ht="13.5" customHeight="1" thickBot="1">
      <c r="A211" s="64">
        <f>$A$31</f>
        <v>124</v>
      </c>
      <c r="B211" s="93" t="str">
        <f>IF(B$31="","",B$31)</f>
        <v/>
      </c>
      <c r="C211" s="65" t="str">
        <f>IF($C$31="","",$C$31)</f>
        <v/>
      </c>
      <c r="D211" s="66" t="str">
        <f t="shared" ca="1" si="6"/>
        <v/>
      </c>
      <c r="E211" s="67"/>
      <c r="F211" s="64">
        <f>$F$31</f>
        <v>224</v>
      </c>
      <c r="G211" s="93" t="str">
        <f>IF(G$31="","",G$31)</f>
        <v/>
      </c>
      <c r="H211" s="65" t="str">
        <f>IF($H$31="","",$H$31)</f>
        <v/>
      </c>
      <c r="I211" s="66" t="str">
        <f t="shared" ca="1" si="7"/>
        <v/>
      </c>
    </row>
    <row r="212" spans="1:19" ht="13.5" customHeight="1">
      <c r="A212" s="64">
        <f>$A$32</f>
        <v>125</v>
      </c>
      <c r="B212" s="154" t="str">
        <f>IF(B$32="","",B$32)</f>
        <v>B</v>
      </c>
      <c r="C212" s="65" t="str">
        <f>IF($C$32="","",$C$32)</f>
        <v>Lohn Nebenerwerb</v>
      </c>
      <c r="D212" s="66">
        <f t="shared" ca="1" si="6"/>
        <v>0</v>
      </c>
      <c r="E212" s="67"/>
      <c r="F212" s="64">
        <f>$F$32</f>
        <v>225</v>
      </c>
      <c r="G212" s="154" t="str">
        <f>IF(G$32="","",G$32)</f>
        <v>B</v>
      </c>
      <c r="H212" s="65" t="str">
        <f>IF($H$32="","",$H$32)</f>
        <v>Nahrung, Kleider, Körperpflege</v>
      </c>
      <c r="I212" s="66">
        <f t="shared" ca="1" si="7"/>
        <v>0</v>
      </c>
      <c r="Q212" s="98" t="s">
        <v>90</v>
      </c>
      <c r="S212" s="98" t="s">
        <v>99</v>
      </c>
    </row>
    <row r="213" spans="1:19" ht="13.5" customHeight="1">
      <c r="A213" s="64">
        <f>$A$33</f>
        <v>126</v>
      </c>
      <c r="B213" s="93" t="str">
        <f>IF(B$33="","",B$33)</f>
        <v/>
      </c>
      <c r="C213" s="65" t="str">
        <f>IF($C$33="","",$C$33)</f>
        <v/>
      </c>
      <c r="D213" s="66" t="str">
        <f t="shared" ca="1" si="6"/>
        <v/>
      </c>
      <c r="E213" s="67"/>
      <c r="F213" s="64">
        <f>$F$33</f>
        <v>226</v>
      </c>
      <c r="G213" s="154" t="str">
        <f>IF(G$33="","",G$33)</f>
        <v>B</v>
      </c>
      <c r="H213" s="65" t="str">
        <f>IF($H$33="","",$H$33)</f>
        <v>Autokosten</v>
      </c>
      <c r="I213" s="66">
        <f t="shared" ca="1" si="7"/>
        <v>0</v>
      </c>
      <c r="Q213" s="112" t="str">
        <f>IF(Q$33="","",Q$33)</f>
        <v/>
      </c>
      <c r="S213" s="112" t="str">
        <f>IF(S$33="","",S$33)</f>
        <v/>
      </c>
    </row>
    <row r="214" spans="1:19" ht="13.5" customHeight="1" thickBot="1">
      <c r="A214" s="64">
        <f>$A$34</f>
        <v>127</v>
      </c>
      <c r="B214" s="93" t="str">
        <f>IF(B$34="","",B$34)</f>
        <v/>
      </c>
      <c r="C214" s="65" t="str">
        <f>IF($C$34="","",$C$34)</f>
        <v/>
      </c>
      <c r="D214" s="66" t="str">
        <f t="shared" ca="1" si="6"/>
        <v/>
      </c>
      <c r="E214" s="67"/>
      <c r="F214" s="64">
        <f>$F$34</f>
        <v>227</v>
      </c>
      <c r="G214" s="154" t="str">
        <f>IF(G$34="","",G$34)</f>
        <v>B</v>
      </c>
      <c r="H214" s="65" t="str">
        <f>IF($H$34="","",$H$34)</f>
        <v>Gesundheit, Krankenkasse, Zahnarzt</v>
      </c>
      <c r="I214" s="66">
        <f t="shared" ca="1" si="7"/>
        <v>0</v>
      </c>
      <c r="Q214" s="105">
        <f>SUMIF($B$187:$B$237,"F",$D$187:$D$237)</f>
        <v>0</v>
      </c>
      <c r="R214" s="104">
        <f>Q214+S214</f>
        <v>0</v>
      </c>
      <c r="S214" s="106">
        <f>SUMIF($G$187:$G$237,"F",$I$187:$I$237)</f>
        <v>0</v>
      </c>
    </row>
    <row r="215" spans="1:19" ht="13.5" customHeight="1">
      <c r="A215" s="64">
        <f>$A$35</f>
        <v>128</v>
      </c>
      <c r="B215" s="93" t="str">
        <f>IF(B$35="","",B$35)</f>
        <v/>
      </c>
      <c r="C215" s="65" t="str">
        <f>IF($C$35="","",$C$35)</f>
        <v/>
      </c>
      <c r="D215" s="66" t="str">
        <f t="shared" ca="1" si="6"/>
        <v/>
      </c>
      <c r="E215" s="67"/>
      <c r="F215" s="64">
        <f>$F$35</f>
        <v>228</v>
      </c>
      <c r="G215" s="154" t="str">
        <f>IF(G$35="","",G$35)</f>
        <v>B</v>
      </c>
      <c r="H215" s="65" t="str">
        <f>IF($H$35="","",$H$35)</f>
        <v>Versicherungen allgemein</v>
      </c>
      <c r="I215" s="66">
        <f t="shared" ca="1" si="7"/>
        <v>0</v>
      </c>
    </row>
    <row r="216" spans="1:19" ht="13.5" customHeight="1" thickBot="1">
      <c r="A216" s="64">
        <f>$A$36</f>
        <v>129</v>
      </c>
      <c r="B216" s="93" t="str">
        <f>IF(B$36="","",B$36)</f>
        <v/>
      </c>
      <c r="C216" s="65" t="str">
        <f>IF($C$36="","",$C$36)</f>
        <v/>
      </c>
      <c r="D216" s="66" t="str">
        <f t="shared" ca="1" si="6"/>
        <v/>
      </c>
      <c r="E216" s="67"/>
      <c r="F216" s="64">
        <f>$F$36</f>
        <v>229</v>
      </c>
      <c r="G216" s="154" t="str">
        <f>IF(G$36="","",G$36)</f>
        <v>B</v>
      </c>
      <c r="H216" s="65" t="str">
        <f>IF($H$36="","",$H$36)</f>
        <v>Büro, Computer, Fotos</v>
      </c>
      <c r="I216" s="66">
        <f t="shared" ca="1" si="7"/>
        <v>0</v>
      </c>
    </row>
    <row r="217" spans="1:19" ht="13.5" customHeight="1">
      <c r="A217" s="64">
        <f>$A$37</f>
        <v>130</v>
      </c>
      <c r="B217" s="93" t="str">
        <f>IF(B$37="","",B$37)</f>
        <v/>
      </c>
      <c r="C217" s="65" t="str">
        <f>IF($C$37="","",$C$37)</f>
        <v/>
      </c>
      <c r="D217" s="66" t="str">
        <f t="shared" ca="1" si="6"/>
        <v/>
      </c>
      <c r="E217" s="67"/>
      <c r="F217" s="64">
        <f>$F$37</f>
        <v>230</v>
      </c>
      <c r="G217" s="154" t="str">
        <f>IF(G$37="","",G$37)</f>
        <v>B</v>
      </c>
      <c r="H217" s="65" t="str">
        <f>IF($H$37="","",$H$37)</f>
        <v>Ferien, Ausflüge</v>
      </c>
      <c r="I217" s="66">
        <f t="shared" ca="1" si="7"/>
        <v>0</v>
      </c>
      <c r="Q217" s="99" t="s">
        <v>91</v>
      </c>
      <c r="S217" s="99" t="s">
        <v>100</v>
      </c>
    </row>
    <row r="218" spans="1:19" ht="13.5" customHeight="1">
      <c r="A218" s="64">
        <f>$A$38</f>
        <v>131</v>
      </c>
      <c r="B218" s="93" t="str">
        <f>IF(B$38="","",B$38)</f>
        <v/>
      </c>
      <c r="C218" s="65" t="str">
        <f>IF($C$38="","",$C$38)</f>
        <v/>
      </c>
      <c r="D218" s="66" t="str">
        <f t="shared" ca="1" si="6"/>
        <v/>
      </c>
      <c r="E218" s="67"/>
      <c r="F218" s="64">
        <f>$F$38</f>
        <v>231</v>
      </c>
      <c r="G218" s="154" t="str">
        <f>IF(G$38="","",G$38)</f>
        <v>B</v>
      </c>
      <c r="H218" s="65" t="str">
        <f>IF($H$38="","",$H$38)</f>
        <v>Freizeit, Vergnügen, Unterhaltung</v>
      </c>
      <c r="I218" s="66">
        <f t="shared" ca="1" si="7"/>
        <v>0</v>
      </c>
      <c r="Q218" s="112" t="str">
        <f>IF(Q$38="","",Q$38)</f>
        <v/>
      </c>
      <c r="S218" s="112" t="str">
        <f>IF(S$38="","",S$38)</f>
        <v/>
      </c>
    </row>
    <row r="219" spans="1:19" ht="13.5" customHeight="1" thickBot="1">
      <c r="A219" s="64">
        <f>$A$39</f>
        <v>132</v>
      </c>
      <c r="B219" s="154" t="str">
        <f>IF(B$39="","",B$39)</f>
        <v>B</v>
      </c>
      <c r="C219" s="65" t="str">
        <f>IF($C$39="","",$C$39)</f>
        <v>Feuerwehrsold</v>
      </c>
      <c r="D219" s="66">
        <f t="shared" ca="1" si="6"/>
        <v>0</v>
      </c>
      <c r="E219" s="67"/>
      <c r="F219" s="64">
        <f>$F$39</f>
        <v>232</v>
      </c>
      <c r="G219" s="154" t="str">
        <f>IF(G$39="","",G$39)</f>
        <v>B</v>
      </c>
      <c r="H219" s="65" t="str">
        <f>IF($H$39="","",$H$39)</f>
        <v>Telefon</v>
      </c>
      <c r="I219" s="66">
        <f t="shared" ca="1" si="7"/>
        <v>0</v>
      </c>
      <c r="Q219" s="105">
        <f>SUMIF($B$187:$B$237,"G",$D$187:$D$237)</f>
        <v>0</v>
      </c>
      <c r="R219" s="104">
        <f>Q219+S219</f>
        <v>0</v>
      </c>
      <c r="S219" s="106">
        <f>SUMIF($G$187:$G$237,"G",$I$187:$I$237)</f>
        <v>0</v>
      </c>
    </row>
    <row r="220" spans="1:19" ht="13.5" customHeight="1">
      <c r="A220" s="64">
        <f>$A$40</f>
        <v>133</v>
      </c>
      <c r="B220" s="93" t="str">
        <f>IF(B$40="","",B$40)</f>
        <v/>
      </c>
      <c r="C220" s="65" t="str">
        <f>IF($C$40="","",$C$40)</f>
        <v/>
      </c>
      <c r="D220" s="66" t="str">
        <f t="shared" ca="1" si="6"/>
        <v/>
      </c>
      <c r="E220" s="67"/>
      <c r="F220" s="64">
        <f>$F$40</f>
        <v>233</v>
      </c>
      <c r="G220" s="154" t="str">
        <f>IF(G$40="","",G$40)</f>
        <v>B</v>
      </c>
      <c r="H220" s="65" t="str">
        <f>IF($H$40="","",$H$40)</f>
        <v>Öffentlicher Verkehr und Velo</v>
      </c>
      <c r="I220" s="66">
        <f t="shared" ca="1" si="7"/>
        <v>0</v>
      </c>
    </row>
    <row r="221" spans="1:19" ht="13.5" customHeight="1" thickBot="1">
      <c r="A221" s="64">
        <f>$A$41</f>
        <v>134</v>
      </c>
      <c r="B221" s="93" t="str">
        <f>IF(B$41="","",B$41)</f>
        <v/>
      </c>
      <c r="C221" s="65" t="str">
        <f>IF($C$41="","",$C$41)</f>
        <v/>
      </c>
      <c r="D221" s="66" t="str">
        <f t="shared" ca="1" si="6"/>
        <v/>
      </c>
      <c r="E221" s="67"/>
      <c r="F221" s="64">
        <f>$F$41</f>
        <v>234</v>
      </c>
      <c r="G221" s="154" t="str">
        <f>IF(G$41="","",G$41)</f>
        <v>B</v>
      </c>
      <c r="H221" s="65" t="str">
        <f>IF($H$41="","",$H$41)</f>
        <v>Möbel, Wohnungseinrichtung</v>
      </c>
      <c r="I221" s="66">
        <f t="shared" ca="1" si="7"/>
        <v>0</v>
      </c>
    </row>
    <row r="222" spans="1:19" ht="13.5" customHeight="1">
      <c r="A222" s="64">
        <f>$A$42</f>
        <v>135</v>
      </c>
      <c r="B222" s="93" t="str">
        <f>IF(B$42="","",B$42)</f>
        <v/>
      </c>
      <c r="C222" s="65" t="str">
        <f>IF($C$42="","",$C$42)</f>
        <v/>
      </c>
      <c r="D222" s="66" t="str">
        <f t="shared" ca="1" si="6"/>
        <v/>
      </c>
      <c r="E222" s="67"/>
      <c r="F222" s="64">
        <f>$F$42</f>
        <v>235</v>
      </c>
      <c r="G222" s="154" t="str">
        <f>IF(G$42="","",G$42)</f>
        <v>B</v>
      </c>
      <c r="H222" s="65" t="str">
        <f>IF($H$42="","",$H$42)</f>
        <v>Kosten IT Consulting / Webdesign</v>
      </c>
      <c r="I222" s="66">
        <f t="shared" ca="1" si="7"/>
        <v>0</v>
      </c>
      <c r="Q222" s="100" t="s">
        <v>92</v>
      </c>
      <c r="S222" s="100" t="s">
        <v>101</v>
      </c>
    </row>
    <row r="223" spans="1:19" ht="13.5" customHeight="1">
      <c r="A223" s="64">
        <f>$A$43</f>
        <v>136</v>
      </c>
      <c r="B223" s="93" t="str">
        <f>IF(B$43="","",B$43)</f>
        <v/>
      </c>
      <c r="C223" s="65" t="str">
        <f>IF($C$43="","",$C$43)</f>
        <v/>
      </c>
      <c r="D223" s="66" t="str">
        <f t="shared" ca="1" si="6"/>
        <v/>
      </c>
      <c r="E223" s="67"/>
      <c r="F223" s="64">
        <f>$F$43</f>
        <v>236</v>
      </c>
      <c r="G223" s="154" t="str">
        <f>IF(G$43="","",G$43)</f>
        <v>B</v>
      </c>
      <c r="H223" s="65" t="str">
        <f>IF($H$43="","",$H$43)</f>
        <v>Schule und Bildung Kinder</v>
      </c>
      <c r="I223" s="66">
        <f t="shared" ca="1" si="7"/>
        <v>0</v>
      </c>
      <c r="Q223" s="112" t="str">
        <f>IF(Q$43="","",Q$43)</f>
        <v/>
      </c>
      <c r="S223" s="112" t="str">
        <f>IF(S$43="","",S$43)</f>
        <v/>
      </c>
    </row>
    <row r="224" spans="1:19" ht="13.5" customHeight="1" thickBot="1">
      <c r="A224" s="64">
        <f>$A$44</f>
        <v>137</v>
      </c>
      <c r="B224" s="93" t="str">
        <f>IF(B$44="","",B$44)</f>
        <v/>
      </c>
      <c r="C224" s="65" t="str">
        <f>IF($C$44="","",$C$44)</f>
        <v/>
      </c>
      <c r="D224" s="66" t="str">
        <f t="shared" ca="1" si="6"/>
        <v/>
      </c>
      <c r="E224" s="67"/>
      <c r="F224" s="64">
        <f>$F$44</f>
        <v>237</v>
      </c>
      <c r="G224" s="154" t="str">
        <f>IF(G$44="","",G$44)</f>
        <v>B</v>
      </c>
      <c r="H224" s="65" t="str">
        <f>IF($H$44="","",$H$44)</f>
        <v>Org. Freizeitaktivitäten der Kinder</v>
      </c>
      <c r="I224" s="66">
        <f t="shared" ca="1" si="7"/>
        <v>0</v>
      </c>
      <c r="Q224" s="105">
        <f>SUMIF($B$187:$B$237,"H",$D$187:$D$237)</f>
        <v>0</v>
      </c>
      <c r="R224" s="104">
        <f>Q224+S224</f>
        <v>0</v>
      </c>
      <c r="S224" s="106">
        <f>SUMIF($G$187:$G$237,"H",$I$187:$I$237)</f>
        <v>0</v>
      </c>
    </row>
    <row r="225" spans="1:19" ht="13.5" customHeight="1">
      <c r="A225" s="64">
        <f>$A$45</f>
        <v>138</v>
      </c>
      <c r="B225" s="93" t="str">
        <f>IF(B$45="","",B$45)</f>
        <v/>
      </c>
      <c r="C225" s="65" t="str">
        <f>IF($C$45="","",$C$45)</f>
        <v/>
      </c>
      <c r="D225" s="66" t="str">
        <f t="shared" ca="1" si="6"/>
        <v/>
      </c>
      <c r="E225" s="67"/>
      <c r="F225" s="64">
        <f>$F$45</f>
        <v>238</v>
      </c>
      <c r="G225" s="93" t="str">
        <f>IF(G$45="","",G$45)</f>
        <v/>
      </c>
      <c r="H225" s="65" t="str">
        <f>IF($H$45="","",$H$45)</f>
        <v/>
      </c>
      <c r="I225" s="66" t="str">
        <f t="shared" ca="1" si="7"/>
        <v/>
      </c>
    </row>
    <row r="226" spans="1:19" ht="13.5" customHeight="1" thickBot="1">
      <c r="A226" s="64">
        <f>$A$46</f>
        <v>139</v>
      </c>
      <c r="B226" s="93" t="str">
        <f>IF(B$46="","",B$46)</f>
        <v/>
      </c>
      <c r="C226" s="65" t="str">
        <f>IF($C$46="","",$C$46)</f>
        <v/>
      </c>
      <c r="D226" s="66" t="str">
        <f t="shared" ca="1" si="6"/>
        <v/>
      </c>
      <c r="E226" s="67"/>
      <c r="F226" s="64">
        <f>$F$46</f>
        <v>239</v>
      </c>
      <c r="G226" s="154" t="str">
        <f>IF(G$46="","",G$46)</f>
        <v>B</v>
      </c>
      <c r="H226" s="65" t="str">
        <f>IF($H$46="","",$H$46)</f>
        <v>Wohltätige Spenden</v>
      </c>
      <c r="I226" s="66">
        <f t="shared" ca="1" si="7"/>
        <v>0</v>
      </c>
    </row>
    <row r="227" spans="1:19" ht="13.5" customHeight="1">
      <c r="A227" s="64">
        <f>$A$47</f>
        <v>140</v>
      </c>
      <c r="B227" s="93" t="str">
        <f>IF(B$47="","",B$47)</f>
        <v/>
      </c>
      <c r="C227" s="65" t="str">
        <f>IF($C$47="","",$C$47)</f>
        <v/>
      </c>
      <c r="D227" s="66" t="str">
        <f t="shared" ca="1" si="6"/>
        <v/>
      </c>
      <c r="E227" s="67"/>
      <c r="F227" s="64">
        <f>$F$47</f>
        <v>240</v>
      </c>
      <c r="G227" s="154" t="str">
        <f>IF(G$47="","",G$47)</f>
        <v>B</v>
      </c>
      <c r="H227" s="65" t="str">
        <f>IF($H$47="","",$H$47)</f>
        <v>Vorsorgesparen 3a / PK Einkauf</v>
      </c>
      <c r="I227" s="66">
        <f t="shared" ca="1" si="7"/>
        <v>0</v>
      </c>
      <c r="Q227" s="101" t="s">
        <v>93</v>
      </c>
      <c r="S227" s="101" t="s">
        <v>102</v>
      </c>
    </row>
    <row r="228" spans="1:19" ht="13.5" customHeight="1">
      <c r="A228" s="64">
        <f>$A$48</f>
        <v>141</v>
      </c>
      <c r="B228" s="93" t="str">
        <f>IF(B$48="","",B$48)</f>
        <v/>
      </c>
      <c r="C228" s="65" t="str">
        <f>IF($C$48="","",$C$48)</f>
        <v/>
      </c>
      <c r="D228" s="66" t="str">
        <f t="shared" ca="1" si="6"/>
        <v/>
      </c>
      <c r="E228" s="67"/>
      <c r="F228" s="64">
        <f>$F$48</f>
        <v>241</v>
      </c>
      <c r="G228" s="93" t="str">
        <f>IF(G$48="","",G$48)</f>
        <v/>
      </c>
      <c r="H228" s="65" t="str">
        <f>IF($H$48="","",$H$48)</f>
        <v/>
      </c>
      <c r="I228" s="66" t="str">
        <f t="shared" ca="1" si="7"/>
        <v/>
      </c>
      <c r="Q228" s="112" t="str">
        <f>IF(Q$48="","",Q$48)</f>
        <v/>
      </c>
      <c r="S228" s="112" t="str">
        <f>IF(S$48="","",S$48)</f>
        <v/>
      </c>
    </row>
    <row r="229" spans="1:19" ht="13.5" customHeight="1" thickBot="1">
      <c r="A229" s="64">
        <f>$A$49</f>
        <v>142</v>
      </c>
      <c r="B229" s="93" t="str">
        <f>IF(B$49="","",B$49)</f>
        <v/>
      </c>
      <c r="C229" s="65" t="str">
        <f>IF($C$49="","",$C$49)</f>
        <v/>
      </c>
      <c r="D229" s="66" t="str">
        <f t="shared" ca="1" si="6"/>
        <v/>
      </c>
      <c r="E229" s="67"/>
      <c r="F229" s="64">
        <f>$F$49</f>
        <v>242</v>
      </c>
      <c r="G229" s="93" t="str">
        <f>IF(G$49="","",G$49)</f>
        <v/>
      </c>
      <c r="H229" s="65" t="str">
        <f>IF($H$49="","",$H$49)</f>
        <v/>
      </c>
      <c r="I229" s="66" t="str">
        <f t="shared" ca="1" si="7"/>
        <v/>
      </c>
      <c r="Q229" s="105">
        <f>SUMIF($B$187:$B$237,"I",$D$187:$D$237)</f>
        <v>0</v>
      </c>
      <c r="R229" s="104">
        <f>Q229+S229</f>
        <v>0</v>
      </c>
      <c r="S229" s="106">
        <f>SUMIF($G$187:$G$237,"I",$I$187:$I$237)</f>
        <v>0</v>
      </c>
    </row>
    <row r="230" spans="1:19" ht="13.5" customHeight="1">
      <c r="A230" s="64">
        <f>$A$50</f>
        <v>143</v>
      </c>
      <c r="B230" s="93" t="str">
        <f>IF(B$50="","",B$50)</f>
        <v/>
      </c>
      <c r="C230" s="65" t="str">
        <f>IF($C$50="","",$C$50)</f>
        <v/>
      </c>
      <c r="D230" s="66" t="str">
        <f t="shared" ca="1" si="6"/>
        <v/>
      </c>
      <c r="E230" s="67"/>
      <c r="F230" s="64">
        <f>$F$50</f>
        <v>243</v>
      </c>
      <c r="G230" s="154" t="str">
        <f>IF(G$50="","",G$50)</f>
        <v>B</v>
      </c>
      <c r="H230" s="65" t="str">
        <f>IF($H$50="","",$H$50)</f>
        <v>Wasser</v>
      </c>
      <c r="I230" s="66">
        <f t="shared" ca="1" si="7"/>
        <v>0</v>
      </c>
    </row>
    <row r="231" spans="1:19" ht="13.5" customHeight="1" thickBot="1">
      <c r="A231" s="64">
        <f>$A$51</f>
        <v>144</v>
      </c>
      <c r="B231" s="93" t="str">
        <f>IF(B$51="","",B$51)</f>
        <v/>
      </c>
      <c r="C231" s="65" t="str">
        <f>IF($C$51="","",$C$51)</f>
        <v/>
      </c>
      <c r="D231" s="66" t="str">
        <f t="shared" ca="1" si="6"/>
        <v/>
      </c>
      <c r="E231" s="67"/>
      <c r="F231" s="64">
        <f>$F$51</f>
        <v>244</v>
      </c>
      <c r="G231" s="154" t="str">
        <f>IF(G$51="","",G$51)</f>
        <v>B</v>
      </c>
      <c r="H231" s="65" t="str">
        <f>IF($H$51="","",$H$51)</f>
        <v>Strom</v>
      </c>
      <c r="I231" s="66">
        <f t="shared" ca="1" si="7"/>
        <v>0</v>
      </c>
    </row>
    <row r="232" spans="1:19" ht="13.5" customHeight="1">
      <c r="A232" s="64">
        <f>$A$52</f>
        <v>145</v>
      </c>
      <c r="B232" s="93" t="str">
        <f>IF(B$52="","",B$52)</f>
        <v/>
      </c>
      <c r="C232" s="65" t="str">
        <f>IF($C$52="","",$C$52)</f>
        <v/>
      </c>
      <c r="D232" s="66" t="str">
        <f t="shared" ca="1" si="6"/>
        <v/>
      </c>
      <c r="E232" s="67"/>
      <c r="F232" s="64">
        <f>$F$52</f>
        <v>245</v>
      </c>
      <c r="G232" s="154" t="str">
        <f>IF(G$52="","",G$52)</f>
        <v>B</v>
      </c>
      <c r="H232" s="65" t="str">
        <f>IF($H$52="","",$H$52)</f>
        <v>Geschenke</v>
      </c>
      <c r="I232" s="66">
        <f t="shared" ca="1" si="7"/>
        <v>0</v>
      </c>
      <c r="Q232" s="102" t="s">
        <v>94</v>
      </c>
      <c r="S232" s="102" t="s">
        <v>103</v>
      </c>
    </row>
    <row r="233" spans="1:19" ht="13.5" customHeight="1">
      <c r="A233" s="64">
        <f>$A$53</f>
        <v>146</v>
      </c>
      <c r="B233" s="93" t="str">
        <f>IF(B$53="","",B$53)</f>
        <v/>
      </c>
      <c r="C233" s="65" t="str">
        <f>IF($C$53="","",$C$53)</f>
        <v/>
      </c>
      <c r="D233" s="66" t="str">
        <f t="shared" ca="1" si="6"/>
        <v/>
      </c>
      <c r="E233" s="67"/>
      <c r="F233" s="64">
        <f>$F$53</f>
        <v>246</v>
      </c>
      <c r="G233" s="154" t="str">
        <f>IF(G$53="","",G$53)</f>
        <v>B</v>
      </c>
      <c r="H233" s="65" t="str">
        <f>IF($H$53="","",$H$53)</f>
        <v>Erwachsenenbildung</v>
      </c>
      <c r="I233" s="66">
        <f t="shared" ca="1" si="7"/>
        <v>0</v>
      </c>
      <c r="Q233" s="112" t="str">
        <f>IF(Q$53="","",Q$53)</f>
        <v/>
      </c>
      <c r="S233" s="112" t="str">
        <f>IF(S$53="","",S$53)</f>
        <v/>
      </c>
    </row>
    <row r="234" spans="1:19" ht="13.5" customHeight="1" thickBot="1">
      <c r="A234" s="64">
        <f>$A$54</f>
        <v>147</v>
      </c>
      <c r="B234" s="154" t="str">
        <f>IF(B$54="","",B$54)</f>
        <v>B</v>
      </c>
      <c r="C234" s="65" t="str">
        <f>IF($C$54="","",$C$54)</f>
        <v>Diverse Privateinnahmen</v>
      </c>
      <c r="D234" s="66">
        <f t="shared" ca="1" si="6"/>
        <v>0</v>
      </c>
      <c r="E234" s="67"/>
      <c r="F234" s="64">
        <f>$F$54</f>
        <v>247</v>
      </c>
      <c r="G234" s="154" t="str">
        <f>IF(G$54="","",G$54)</f>
        <v>B</v>
      </c>
      <c r="H234" s="65" t="str">
        <f>IF($H$54="","",$H$54)</f>
        <v>Diverse Privatausgaben</v>
      </c>
      <c r="I234" s="66">
        <f t="shared" ca="1" si="7"/>
        <v>0</v>
      </c>
      <c r="Q234" s="105">
        <f>SUMIF($B$187:$B$237,"K",$D$187:$D$237)</f>
        <v>0</v>
      </c>
      <c r="R234" s="104">
        <f>Q234+S234</f>
        <v>0</v>
      </c>
      <c r="S234" s="106">
        <f>SUMIF($G$187:$G$237,"K",$I$187:$I$237)</f>
        <v>0</v>
      </c>
    </row>
    <row r="235" spans="1:19" ht="13.5" customHeight="1">
      <c r="A235" s="64">
        <f>$A$55</f>
        <v>148</v>
      </c>
      <c r="B235" s="93" t="str">
        <f>IF(B$55="","",B$55)</f>
        <v/>
      </c>
      <c r="C235" s="65" t="str">
        <f>IF($C$55="","",$C$55)</f>
        <v/>
      </c>
      <c r="D235" s="66" t="str">
        <f t="shared" ca="1" si="6"/>
        <v/>
      </c>
      <c r="E235" s="67"/>
      <c r="F235" s="64">
        <f>$F$55</f>
        <v>248</v>
      </c>
      <c r="G235" s="154" t="str">
        <f>IF(G$55="","",G$55)</f>
        <v>B</v>
      </c>
      <c r="H235" s="65" t="str">
        <f>IF($H$55="","",$H$55)</f>
        <v>Private Vereinsbeiträge</v>
      </c>
      <c r="I235" s="66">
        <f t="shared" ca="1" si="7"/>
        <v>0</v>
      </c>
    </row>
    <row r="236" spans="1:19" ht="13.5" customHeight="1" thickBot="1">
      <c r="A236" s="64">
        <f>$A$56</f>
        <v>149</v>
      </c>
      <c r="B236" s="93" t="str">
        <f>IF(B$56="","",B$56)</f>
        <v/>
      </c>
      <c r="C236" s="65" t="str">
        <f>IF($C$56="","",$C$56)</f>
        <v/>
      </c>
      <c r="D236" s="66" t="str">
        <f t="shared" ca="1" si="6"/>
        <v/>
      </c>
      <c r="E236" s="67"/>
      <c r="F236" s="64">
        <f>$F$56</f>
        <v>249</v>
      </c>
      <c r="G236" s="154" t="str">
        <f>IF(G$56="","",G$56)</f>
        <v>B</v>
      </c>
      <c r="H236" s="65" t="str">
        <f>IF($H$56="","",$H$56)</f>
        <v>Spesen Vermögensverwaltung</v>
      </c>
      <c r="I236" s="66">
        <f t="shared" ca="1" si="7"/>
        <v>0</v>
      </c>
    </row>
    <row r="237" spans="1:19" ht="13.5" customHeight="1" thickBot="1">
      <c r="A237" s="64">
        <f>$A$57</f>
        <v>150</v>
      </c>
      <c r="B237" s="154" t="str">
        <f>IF(B$57="","",B$57)</f>
        <v>B</v>
      </c>
      <c r="C237" s="65" t="str">
        <f>IF($C$57="","",$C$57)</f>
        <v>Zinsen, Zinssteuererstattungen</v>
      </c>
      <c r="D237" s="66">
        <f t="shared" ca="1" si="6"/>
        <v>0</v>
      </c>
      <c r="E237" s="67"/>
      <c r="F237" s="64">
        <f>$F$57</f>
        <v>250</v>
      </c>
      <c r="G237" s="154" t="str">
        <f>IF(G$57="","",G$57)</f>
        <v>B</v>
      </c>
      <c r="H237" s="65" t="str">
        <f>IF($H$57="","",$H$57)</f>
        <v>Steuern</v>
      </c>
      <c r="I237" s="66">
        <f t="shared" ca="1" si="7"/>
        <v>0</v>
      </c>
      <c r="L237" s="119">
        <f ca="1">L189+L194+L199+L204+L209+L214+L219+L224+L229+L234</f>
        <v>0</v>
      </c>
      <c r="M237" s="120" t="s">
        <v>111</v>
      </c>
      <c r="N237" s="121">
        <f ca="1">N189+N194+N199+N204+N209+N214+N219+N224+N229+N234</f>
        <v>0</v>
      </c>
      <c r="Q237" s="119">
        <f ca="1">Q189+Q194+Q199+Q204+Q209+Q214+Q219+Q224+Q229+Q234</f>
        <v>0</v>
      </c>
      <c r="R237" s="120" t="s">
        <v>111</v>
      </c>
      <c r="S237" s="121">
        <f ca="1">S189+S194+S199+S204+S209+S214+S219+S224+S229+S234</f>
        <v>0</v>
      </c>
    </row>
    <row r="238" spans="1:19" ht="13.5" customHeight="1" thickTop="1" thickBot="1">
      <c r="A238" s="68" t="s">
        <v>38</v>
      </c>
      <c r="B238" s="91"/>
      <c r="C238" s="69"/>
      <c r="D238" s="70">
        <f ca="1">SUM(D187:D237)</f>
        <v>0</v>
      </c>
      <c r="F238" s="68" t="s">
        <v>39</v>
      </c>
      <c r="G238" s="91"/>
      <c r="H238" s="69"/>
      <c r="I238" s="70">
        <f ca="1">SUM(I187:I237)</f>
        <v>0</v>
      </c>
      <c r="L238" s="117">
        <f ca="1">$D$238</f>
        <v>0</v>
      </c>
      <c r="M238" s="41" t="s">
        <v>110</v>
      </c>
      <c r="N238" s="116">
        <f ca="1">$I$238</f>
        <v>0</v>
      </c>
      <c r="Q238" s="117">
        <f ca="1">$D$238</f>
        <v>0</v>
      </c>
      <c r="R238" s="41" t="s">
        <v>110</v>
      </c>
      <c r="S238" s="116">
        <f ca="1">$I$238</f>
        <v>0</v>
      </c>
    </row>
    <row r="239" spans="1:19" ht="13.5" customHeight="1" thickTop="1">
      <c r="A239" s="71" t="s">
        <v>109</v>
      </c>
      <c r="B239" s="92"/>
      <c r="C239" s="72"/>
      <c r="D239" s="148">
        <f ca="1">April!$E$7</f>
        <v>0</v>
      </c>
      <c r="F239" s="71" t="s">
        <v>109</v>
      </c>
      <c r="G239" s="92"/>
      <c r="H239" s="72"/>
      <c r="I239" s="148">
        <f ca="1">April!$G$7</f>
        <v>0</v>
      </c>
      <c r="L239" s="114">
        <f ca="1">L189+L194+L199+L204+L209+L214+L219+L224+L229+L234+SUMIF($B$187:$B$237,"",$D$187:$D$237)</f>
        <v>0</v>
      </c>
      <c r="M239" s="115" t="s">
        <v>107</v>
      </c>
      <c r="N239" s="114">
        <f ca="1">N189+N194+N199+N204+N209+N214+N219+N224+N229+N234+SUMIF($G$187:$G$237,"",$I$187:$I$237)</f>
        <v>0</v>
      </c>
      <c r="Q239" s="114">
        <f ca="1">Q189+Q194+Q199+Q204+Q209+Q214+Q219+Q224+Q229+Q234+SUMIF($B$187:$B$237,"",$D$187:$D$237)</f>
        <v>0</v>
      </c>
      <c r="R239" s="115" t="s">
        <v>107</v>
      </c>
      <c r="S239" s="114">
        <f ca="1">S189+S194+S199+S204+S209+S214+S219+S224+S229+S234+SUMIF($G$187:$G$237,"",$I$187:$I$237)</f>
        <v>0</v>
      </c>
    </row>
    <row r="240" spans="1:19" ht="13.5" customHeight="1"/>
    <row r="241" spans="1:19" ht="15.95" customHeight="1">
      <c r="A241" s="57" t="str">
        <f>$A$1</f>
        <v>Einnahmen und Ausgaben nach Kategorien</v>
      </c>
      <c r="B241" s="33"/>
      <c r="C241" s="58"/>
      <c r="D241" s="58"/>
      <c r="E241" s="58"/>
      <c r="F241" s="58"/>
      <c r="G241" s="34"/>
      <c r="H241" s="58"/>
      <c r="I241" s="59" t="str">
        <f>CONCATENATE("Mai ",$A$2)</f>
        <v xml:space="preserve">Mai </v>
      </c>
      <c r="L241" s="33" t="str">
        <f>CONCATENATE("Kategoriengruppen Mai ",$A$2)</f>
        <v xml:space="preserve">Kategoriengruppen Mai </v>
      </c>
      <c r="Q241" s="33" t="str">
        <f>CONCATENATE("Kategoriengruppen Mai ",$A$2)</f>
        <v xml:space="preserve">Kategoriengruppen Mai </v>
      </c>
    </row>
    <row r="242" spans="1:19" ht="13.5" customHeight="1"/>
    <row r="243" spans="1:19" ht="13.5" customHeight="1"/>
    <row r="244" spans="1:19" ht="13.5" customHeight="1">
      <c r="A244" s="60" t="s">
        <v>40</v>
      </c>
      <c r="B244" s="39"/>
      <c r="C244" s="60"/>
      <c r="D244" s="60"/>
      <c r="F244" s="60" t="s">
        <v>41</v>
      </c>
      <c r="G244" s="39"/>
      <c r="H244" s="60"/>
      <c r="I244" s="60"/>
      <c r="L244" s="39" t="s">
        <v>84</v>
      </c>
      <c r="M244" s="103" t="s">
        <v>106</v>
      </c>
      <c r="N244" s="39" t="s">
        <v>85</v>
      </c>
      <c r="Q244" s="39" t="s">
        <v>84</v>
      </c>
      <c r="R244" s="103" t="s">
        <v>106</v>
      </c>
      <c r="S244" s="39" t="s">
        <v>85</v>
      </c>
    </row>
    <row r="245" spans="1:19" ht="13.5" customHeight="1" thickBot="1"/>
    <row r="246" spans="1:19" ht="13.5" customHeight="1" thickTop="1" thickBot="1">
      <c r="A246" s="61" t="s">
        <v>24</v>
      </c>
      <c r="B246" s="90" t="s">
        <v>82</v>
      </c>
      <c r="C246" s="62" t="s">
        <v>25</v>
      </c>
      <c r="D246" s="63" t="str">
        <f>$D$6</f>
        <v>CHF</v>
      </c>
      <c r="F246" s="61" t="s">
        <v>24</v>
      </c>
      <c r="G246" s="90" t="s">
        <v>82</v>
      </c>
      <c r="H246" s="62" t="s">
        <v>25</v>
      </c>
      <c r="I246" s="63" t="str">
        <f>$D$6</f>
        <v>CHF</v>
      </c>
    </row>
    <row r="247" spans="1:19" ht="13.5" customHeight="1" thickTop="1">
      <c r="A247" s="64">
        <f>$A$7</f>
        <v>100</v>
      </c>
      <c r="B247" s="153" t="str">
        <f>IF(B$7="","",B$7)</f>
        <v>A</v>
      </c>
      <c r="C247" s="65" t="str">
        <f>IF($C$7="","",$C$7)</f>
        <v>Ladenverkauf</v>
      </c>
      <c r="D247" s="66">
        <f ca="1">IF(C247="","",SUMIF(INDIRECT("Mai!$D$15:$D$16000"),A247,INDIRECT("Mai!$E$15:$E$16000")))</f>
        <v>0</v>
      </c>
      <c r="E247" s="67"/>
      <c r="F247" s="64">
        <f>$F$7</f>
        <v>200</v>
      </c>
      <c r="G247" s="153" t="str">
        <f>IF(G$7="","",G$7)</f>
        <v>A</v>
      </c>
      <c r="H247" s="65" t="str">
        <f>IF($H$7="","",$H$7)</f>
        <v>Maschinen und Geräte</v>
      </c>
      <c r="I247" s="66">
        <f ca="1">IF(H247="","",SUMIF(INDIRECT("Mai!$F$15:$F$16000"),F247,INDIRECT("Mai!$G$15:$G$16000")))</f>
        <v>0</v>
      </c>
      <c r="L247" s="95" t="s">
        <v>83</v>
      </c>
      <c r="N247" s="95" t="s">
        <v>104</v>
      </c>
      <c r="Q247" s="95" t="s">
        <v>83</v>
      </c>
      <c r="S247" s="95" t="s">
        <v>104</v>
      </c>
    </row>
    <row r="248" spans="1:19" ht="13.5" customHeight="1">
      <c r="A248" s="64">
        <f>$A$8</f>
        <v>101</v>
      </c>
      <c r="B248" s="153" t="str">
        <f>IF(B$8="","",B$8)</f>
        <v>A</v>
      </c>
      <c r="C248" s="65" t="str">
        <f>IF($C$8="","",$C$8)</f>
        <v>Verkauf über Internet</v>
      </c>
      <c r="D248" s="66">
        <f t="shared" ref="D248:D297" ca="1" si="8">IF(C248="","",SUMIF(INDIRECT("Mai!$D$15:$D$16000"),A248,INDIRECT("Mai!$E$15:$E$16000")))</f>
        <v>0</v>
      </c>
      <c r="E248" s="67"/>
      <c r="F248" s="64">
        <f>$F$8</f>
        <v>201</v>
      </c>
      <c r="G248" s="153" t="str">
        <f>IF(G$8="","",G$8)</f>
        <v>A</v>
      </c>
      <c r="H248" s="65" t="str">
        <f>IF($H$8="","",$H$8)</f>
        <v>Ladenmiete</v>
      </c>
      <c r="I248" s="66">
        <f t="shared" ref="I248:I297" ca="1" si="9">IF(H248="","",SUMIF(INDIRECT("Mai!$F$15:$F$16000"),F248,INDIRECT("Mai!$G$15:$G$16000")))</f>
        <v>0</v>
      </c>
      <c r="L248" s="112" t="str">
        <f>IF(L$8="","",L$8)</f>
        <v>Landwirtschaft</v>
      </c>
      <c r="N248" s="112" t="str">
        <f>IF(N$8="","",N$8)</f>
        <v>Landwirtschaft</v>
      </c>
      <c r="Q248" s="112" t="str">
        <f>IF(Q$8="","",Q$8)</f>
        <v/>
      </c>
      <c r="S248" s="112" t="str">
        <f>IF(S$8="","",S$8)</f>
        <v/>
      </c>
    </row>
    <row r="249" spans="1:19" ht="13.5" customHeight="1" thickBot="1">
      <c r="A249" s="64">
        <f>$A$9</f>
        <v>102</v>
      </c>
      <c r="B249" s="93" t="str">
        <f>IF(B$9="","",B$9)</f>
        <v/>
      </c>
      <c r="C249" s="65" t="str">
        <f>IF($C$9="","",$C$9)</f>
        <v/>
      </c>
      <c r="D249" s="66" t="str">
        <f t="shared" ca="1" si="8"/>
        <v/>
      </c>
      <c r="E249" s="67"/>
      <c r="F249" s="64">
        <f>$F$9</f>
        <v>202</v>
      </c>
      <c r="G249" s="153" t="str">
        <f>IF(G$9="","",G$9)</f>
        <v>A</v>
      </c>
      <c r="H249" s="65" t="str">
        <f>IF($H$9="","",$H$9)</f>
        <v>Werbeausgaben</v>
      </c>
      <c r="I249" s="66">
        <f t="shared" ca="1" si="9"/>
        <v>0</v>
      </c>
      <c r="L249" s="105">
        <f ca="1">SUMIF($B$247:$B$297,"A",$D$247:$D$297)</f>
        <v>0</v>
      </c>
      <c r="M249" s="104">
        <f ca="1">L249+N249</f>
        <v>0</v>
      </c>
      <c r="N249" s="106">
        <f ca="1">SUMIF($G$247:$G$297,"A",$I$247:$I$297)</f>
        <v>0</v>
      </c>
      <c r="Q249" s="105">
        <f ca="1">SUMIF($B$247:$B$297,"A",$D$247:$D$297)</f>
        <v>0</v>
      </c>
      <c r="R249" s="104">
        <f ca="1">Q249+S249</f>
        <v>0</v>
      </c>
      <c r="S249" s="106">
        <f ca="1">SUMIF($G$247:$G$297,"A",$I$247:$I$297)</f>
        <v>0</v>
      </c>
    </row>
    <row r="250" spans="1:19" ht="13.5" customHeight="1">
      <c r="A250" s="64">
        <f>$A$10</f>
        <v>103</v>
      </c>
      <c r="B250" s="93" t="str">
        <f>IF(B$10="","",B$10)</f>
        <v/>
      </c>
      <c r="C250" s="65" t="str">
        <f>IF($C$10="","",$C$10)</f>
        <v/>
      </c>
      <c r="D250" s="66" t="str">
        <f t="shared" ca="1" si="8"/>
        <v/>
      </c>
      <c r="E250" s="67"/>
      <c r="F250" s="64">
        <f>$F$10</f>
        <v>203</v>
      </c>
      <c r="G250" s="153" t="str">
        <f>IF(G$10="","",G$10)</f>
        <v>A</v>
      </c>
      <c r="H250" s="65" t="str">
        <f>IF($H$10="","",$H$10)</f>
        <v>Löhne</v>
      </c>
      <c r="I250" s="66">
        <f t="shared" ca="1" si="9"/>
        <v>0</v>
      </c>
    </row>
    <row r="251" spans="1:19" ht="13.5" customHeight="1" thickBot="1">
      <c r="A251" s="64">
        <f>$A$11</f>
        <v>104</v>
      </c>
      <c r="B251" s="93" t="str">
        <f>IF(B$11="","",B$11)</f>
        <v/>
      </c>
      <c r="C251" s="65" t="str">
        <f>IF($C$11="","",$C$11)</f>
        <v/>
      </c>
      <c r="D251" s="66" t="str">
        <f t="shared" ca="1" si="8"/>
        <v/>
      </c>
      <c r="E251" s="67"/>
      <c r="F251" s="64">
        <f>$F$11</f>
        <v>204</v>
      </c>
      <c r="G251" s="93" t="str">
        <f>IF(G$11="","",G$11)</f>
        <v/>
      </c>
      <c r="H251" s="65" t="str">
        <f>IF($H$11="","",$H$11)</f>
        <v/>
      </c>
      <c r="I251" s="66" t="str">
        <f t="shared" ca="1" si="9"/>
        <v/>
      </c>
    </row>
    <row r="252" spans="1:19" ht="13.5" customHeight="1">
      <c r="A252" s="64">
        <f>$A$12</f>
        <v>105</v>
      </c>
      <c r="B252" s="93" t="str">
        <f>IF(B$12="","",B$12)</f>
        <v/>
      </c>
      <c r="C252" s="65" t="str">
        <f>IF($C$12="","",$C$12)</f>
        <v/>
      </c>
      <c r="D252" s="66" t="str">
        <f t="shared" ca="1" si="8"/>
        <v/>
      </c>
      <c r="E252" s="67"/>
      <c r="F252" s="64">
        <f>$F$12</f>
        <v>205</v>
      </c>
      <c r="G252" s="93" t="str">
        <f>IF(G$12="","",G$12)</f>
        <v/>
      </c>
      <c r="H252" s="65" t="str">
        <f>IF($H$12="","",$H$12)</f>
        <v/>
      </c>
      <c r="I252" s="66" t="str">
        <f t="shared" ca="1" si="9"/>
        <v/>
      </c>
      <c r="L252" s="96" t="s">
        <v>86</v>
      </c>
      <c r="N252" s="96" t="s">
        <v>95</v>
      </c>
      <c r="Q252" s="96" t="s">
        <v>86</v>
      </c>
      <c r="S252" s="96" t="s">
        <v>95</v>
      </c>
    </row>
    <row r="253" spans="1:19" ht="13.5" customHeight="1">
      <c r="A253" s="64">
        <f>$A$13</f>
        <v>106</v>
      </c>
      <c r="B253" s="93" t="str">
        <f>IF(B$13="","",B$13)</f>
        <v/>
      </c>
      <c r="C253" s="65" t="str">
        <f>IF($C$13="","",$C$13)</f>
        <v/>
      </c>
      <c r="D253" s="66" t="str">
        <f t="shared" ca="1" si="8"/>
        <v/>
      </c>
      <c r="E253" s="67"/>
      <c r="F253" s="64">
        <f>$F$13</f>
        <v>206</v>
      </c>
      <c r="G253" s="93" t="str">
        <f>IF(G$13="","",G$13)</f>
        <v/>
      </c>
      <c r="H253" s="65" t="str">
        <f>IF($H$13="","",$H$13)</f>
        <v/>
      </c>
      <c r="I253" s="66" t="str">
        <f t="shared" ca="1" si="9"/>
        <v/>
      </c>
      <c r="L253" s="112" t="str">
        <f>IF(L$13="","",L$13)</f>
        <v>Privat</v>
      </c>
      <c r="N253" s="112" t="str">
        <f>IF(N$13="","",N$13)</f>
        <v>Privat</v>
      </c>
      <c r="Q253" s="112" t="str">
        <f>IF(Q$13="","",Q$13)</f>
        <v/>
      </c>
      <c r="S253" s="112" t="str">
        <f>IF(S$13="","",S$13)</f>
        <v/>
      </c>
    </row>
    <row r="254" spans="1:19" ht="13.5" customHeight="1" thickBot="1">
      <c r="A254" s="64">
        <f>$A$14</f>
        <v>107</v>
      </c>
      <c r="B254" s="93" t="str">
        <f>IF(B$14="","",B$14)</f>
        <v/>
      </c>
      <c r="C254" s="65" t="str">
        <f>IF($C$14="","",$C$14)</f>
        <v/>
      </c>
      <c r="D254" s="66" t="str">
        <f t="shared" ca="1" si="8"/>
        <v/>
      </c>
      <c r="E254" s="67"/>
      <c r="F254" s="64">
        <f>$F$14</f>
        <v>207</v>
      </c>
      <c r="G254" s="93" t="str">
        <f>IF(G$14="","",G$14)</f>
        <v/>
      </c>
      <c r="H254" s="65" t="str">
        <f>IF($H$14="","",$H$14)</f>
        <v/>
      </c>
      <c r="I254" s="66" t="str">
        <f t="shared" ca="1" si="9"/>
        <v/>
      </c>
      <c r="L254" s="105">
        <f ca="1">SUMIF($B$247:$B$297,"B",$D$247:$D$297)</f>
        <v>0</v>
      </c>
      <c r="M254" s="104">
        <f ca="1">L254+N254</f>
        <v>0</v>
      </c>
      <c r="N254" s="106">
        <f ca="1">SUMIF($G$247:$G$297,"B",$I$247:$I$297)</f>
        <v>0</v>
      </c>
      <c r="Q254" s="105">
        <f ca="1">SUMIF($B$247:$B$297,"B",$D$247:$D$297)</f>
        <v>0</v>
      </c>
      <c r="R254" s="104">
        <f ca="1">Q254+S254</f>
        <v>0</v>
      </c>
      <c r="S254" s="106">
        <f ca="1">SUMIF($G$247:$G$297,"B",$I$247:$I$297)</f>
        <v>0</v>
      </c>
    </row>
    <row r="255" spans="1:19" ht="13.5" customHeight="1">
      <c r="A255" s="64">
        <f>$A$15</f>
        <v>108</v>
      </c>
      <c r="B255" s="93" t="str">
        <f>IF(B$15="","",B$15)</f>
        <v/>
      </c>
      <c r="C255" s="65" t="str">
        <f>IF($C$15="","",$C$15)</f>
        <v/>
      </c>
      <c r="D255" s="66" t="str">
        <f t="shared" ca="1" si="8"/>
        <v/>
      </c>
      <c r="E255" s="67"/>
      <c r="F255" s="64">
        <f>$F$15</f>
        <v>208</v>
      </c>
      <c r="G255" s="93" t="str">
        <f>IF(G$15="","",G$15)</f>
        <v/>
      </c>
      <c r="H255" s="65" t="str">
        <f>IF($H$15="","",$H$15)</f>
        <v/>
      </c>
      <c r="I255" s="66" t="str">
        <f t="shared" ca="1" si="9"/>
        <v/>
      </c>
    </row>
    <row r="256" spans="1:19" ht="13.5" customHeight="1" thickBot="1">
      <c r="A256" s="64">
        <f>$A$16</f>
        <v>109</v>
      </c>
      <c r="B256" s="93" t="str">
        <f>IF(B$16="","",B$16)</f>
        <v/>
      </c>
      <c r="C256" s="65" t="str">
        <f>IF($C$16="","",$C$16)</f>
        <v/>
      </c>
      <c r="D256" s="66" t="str">
        <f t="shared" ca="1" si="8"/>
        <v/>
      </c>
      <c r="E256" s="67"/>
      <c r="F256" s="64">
        <f>$F$16</f>
        <v>209</v>
      </c>
      <c r="G256" s="93" t="str">
        <f>IF(G$16="","",G$16)</f>
        <v/>
      </c>
      <c r="H256" s="65" t="str">
        <f>IF($H$16="","",$H$16)</f>
        <v/>
      </c>
      <c r="I256" s="66" t="str">
        <f t="shared" ca="1" si="9"/>
        <v/>
      </c>
    </row>
    <row r="257" spans="1:19" ht="13.5" customHeight="1">
      <c r="A257" s="64">
        <f>$A$17</f>
        <v>110</v>
      </c>
      <c r="B257" s="93" t="str">
        <f>IF(B$17="","",B$17)</f>
        <v/>
      </c>
      <c r="C257" s="65" t="str">
        <f>IF($C$17="","",$C$17)</f>
        <v/>
      </c>
      <c r="D257" s="66" t="str">
        <f t="shared" ca="1" si="8"/>
        <v/>
      </c>
      <c r="E257" s="67"/>
      <c r="F257" s="64">
        <f>$F$17</f>
        <v>210</v>
      </c>
      <c r="G257" s="93" t="str">
        <f>IF(G$17="","",G$17)</f>
        <v/>
      </c>
      <c r="H257" s="65" t="str">
        <f>IF($H$17="","",$H$17)</f>
        <v/>
      </c>
      <c r="I257" s="66" t="str">
        <f t="shared" ca="1" si="9"/>
        <v/>
      </c>
      <c r="Q257" s="109" t="s">
        <v>87</v>
      </c>
      <c r="S257" s="109" t="s">
        <v>96</v>
      </c>
    </row>
    <row r="258" spans="1:19" ht="13.5" customHeight="1">
      <c r="A258" s="64">
        <f>$A$18</f>
        <v>111</v>
      </c>
      <c r="B258" s="93" t="str">
        <f>IF(B$18="","",B$18)</f>
        <v/>
      </c>
      <c r="C258" s="65" t="str">
        <f>IF($C$18="","",$C$18)</f>
        <v/>
      </c>
      <c r="D258" s="66" t="str">
        <f t="shared" ca="1" si="8"/>
        <v/>
      </c>
      <c r="E258" s="67"/>
      <c r="F258" s="64">
        <f>$F$18</f>
        <v>211</v>
      </c>
      <c r="G258" s="93" t="str">
        <f>IF(G$18="","",G$18)</f>
        <v/>
      </c>
      <c r="H258" s="65" t="str">
        <f>IF($H$18="","",$H$18)</f>
        <v/>
      </c>
      <c r="I258" s="66" t="str">
        <f t="shared" ca="1" si="9"/>
        <v/>
      </c>
      <c r="Q258" s="112" t="str">
        <f>IF(Q$18="","",Q$18)</f>
        <v/>
      </c>
      <c r="S258" s="112" t="str">
        <f>IF(S$18="","",S$18)</f>
        <v/>
      </c>
    </row>
    <row r="259" spans="1:19" ht="13.5" customHeight="1" thickBot="1">
      <c r="A259" s="64">
        <f>$A$19</f>
        <v>112</v>
      </c>
      <c r="B259" s="93" t="str">
        <f>IF(B$19="","",B$19)</f>
        <v/>
      </c>
      <c r="C259" s="65" t="str">
        <f>IF($C$19="","",$C$19)</f>
        <v/>
      </c>
      <c r="D259" s="66" t="str">
        <f t="shared" ca="1" si="8"/>
        <v/>
      </c>
      <c r="E259" s="67"/>
      <c r="F259" s="64">
        <f>$F$19</f>
        <v>212</v>
      </c>
      <c r="G259" s="93" t="str">
        <f>IF(G$19="","",G$19)</f>
        <v/>
      </c>
      <c r="H259" s="65" t="str">
        <f>IF($H$19="","",$H$19)</f>
        <v/>
      </c>
      <c r="I259" s="66" t="str">
        <f t="shared" ca="1" si="9"/>
        <v/>
      </c>
      <c r="Q259" s="105">
        <f>SUMIF($B$247:$B$297,"C",$D$247:$D$297)</f>
        <v>0</v>
      </c>
      <c r="R259" s="104">
        <f>Q259+S259</f>
        <v>0</v>
      </c>
      <c r="S259" s="106">
        <f>SUMIF($G$247:$G$297,"C",$I$247:$I$297)</f>
        <v>0</v>
      </c>
    </row>
    <row r="260" spans="1:19" ht="13.5" customHeight="1">
      <c r="A260" s="64">
        <f>$A$20</f>
        <v>113</v>
      </c>
      <c r="B260" s="93" t="str">
        <f>IF(B$20="","",B$20)</f>
        <v/>
      </c>
      <c r="C260" s="65" t="str">
        <f>IF($C$20="","",$C$20)</f>
        <v/>
      </c>
      <c r="D260" s="66" t="str">
        <f t="shared" ca="1" si="8"/>
        <v/>
      </c>
      <c r="E260" s="67"/>
      <c r="F260" s="64">
        <f>$F$20</f>
        <v>213</v>
      </c>
      <c r="G260" s="93" t="str">
        <f>IF(G$20="","",G$20)</f>
        <v/>
      </c>
      <c r="H260" s="65" t="str">
        <f>IF($H$20="","",$H$20)</f>
        <v/>
      </c>
      <c r="I260" s="66" t="str">
        <f t="shared" ca="1" si="9"/>
        <v/>
      </c>
    </row>
    <row r="261" spans="1:19" ht="13.5" customHeight="1" thickBot="1">
      <c r="A261" s="64">
        <f>$A$21</f>
        <v>114</v>
      </c>
      <c r="B261" s="93" t="str">
        <f>IF(B$21="","",B$21)</f>
        <v/>
      </c>
      <c r="C261" s="65" t="str">
        <f>IF($C$21="","",$C$21)</f>
        <v/>
      </c>
      <c r="D261" s="66" t="str">
        <f t="shared" ca="1" si="8"/>
        <v/>
      </c>
      <c r="E261" s="67"/>
      <c r="F261" s="64">
        <f>$F$21</f>
        <v>214</v>
      </c>
      <c r="G261" s="93" t="str">
        <f>IF(G$21="","",G$21)</f>
        <v/>
      </c>
      <c r="H261" s="65" t="str">
        <f>IF($H$21="","",$H$21)</f>
        <v/>
      </c>
      <c r="I261" s="66" t="str">
        <f t="shared" ca="1" si="9"/>
        <v/>
      </c>
    </row>
    <row r="262" spans="1:19" ht="13.5" customHeight="1">
      <c r="A262" s="64">
        <f>$A$22</f>
        <v>115</v>
      </c>
      <c r="B262" s="93" t="str">
        <f>IF(B$22="","",B$22)</f>
        <v/>
      </c>
      <c r="C262" s="65" t="str">
        <f>IF($C$22="","",$C$22)</f>
        <v/>
      </c>
      <c r="D262" s="66" t="str">
        <f t="shared" ca="1" si="8"/>
        <v/>
      </c>
      <c r="E262" s="67"/>
      <c r="F262" s="64">
        <f>$F$22</f>
        <v>215</v>
      </c>
      <c r="G262" s="93" t="str">
        <f>IF(G$22="","",G$22)</f>
        <v/>
      </c>
      <c r="H262" s="65" t="str">
        <f>IF($H$22="","",$H$22)</f>
        <v/>
      </c>
      <c r="I262" s="66" t="str">
        <f t="shared" ca="1" si="9"/>
        <v/>
      </c>
      <c r="Q262" s="97" t="s">
        <v>88</v>
      </c>
      <c r="S262" s="97" t="s">
        <v>97</v>
      </c>
    </row>
    <row r="263" spans="1:19" ht="13.5" customHeight="1">
      <c r="A263" s="64">
        <f>$A$23</f>
        <v>116</v>
      </c>
      <c r="B263" s="93" t="str">
        <f>IF(B$23="","",B$23)</f>
        <v/>
      </c>
      <c r="C263" s="65" t="str">
        <f>IF($C$23="","",$C$23)</f>
        <v/>
      </c>
      <c r="D263" s="66" t="str">
        <f t="shared" ca="1" si="8"/>
        <v/>
      </c>
      <c r="E263" s="67"/>
      <c r="F263" s="64">
        <f>$F$23</f>
        <v>216</v>
      </c>
      <c r="G263" s="93" t="str">
        <f>IF(G$23="","",G$23)</f>
        <v/>
      </c>
      <c r="H263" s="65" t="str">
        <f>IF($H$23="","",$H$23)</f>
        <v/>
      </c>
      <c r="I263" s="66" t="str">
        <f t="shared" ca="1" si="9"/>
        <v/>
      </c>
      <c r="Q263" s="112" t="str">
        <f>IF(Q$23="","",Q$23)</f>
        <v/>
      </c>
      <c r="S263" s="112" t="str">
        <f>IF(S$23="","",S$23)</f>
        <v/>
      </c>
    </row>
    <row r="264" spans="1:19" ht="13.5" customHeight="1" thickBot="1">
      <c r="A264" s="64">
        <f>$A$24</f>
        <v>117</v>
      </c>
      <c r="B264" s="93" t="str">
        <f>IF(B$24="","",B$24)</f>
        <v/>
      </c>
      <c r="C264" s="65" t="str">
        <f>IF($C$24="","",$C$24)</f>
        <v/>
      </c>
      <c r="D264" s="66" t="str">
        <f t="shared" ca="1" si="8"/>
        <v/>
      </c>
      <c r="E264" s="67"/>
      <c r="F264" s="64">
        <f>$F$24</f>
        <v>217</v>
      </c>
      <c r="G264" s="93" t="str">
        <f>IF(G$24="","",G$24)</f>
        <v/>
      </c>
      <c r="H264" s="65" t="str">
        <f>IF($H$24="","",$H$24)</f>
        <v/>
      </c>
      <c r="I264" s="66" t="str">
        <f t="shared" ca="1" si="9"/>
        <v/>
      </c>
      <c r="Q264" s="105">
        <f>SUMIF($B$247:$B$297,"D",$D$247:$D$297)</f>
        <v>0</v>
      </c>
      <c r="R264" s="104">
        <f>Q264+S264</f>
        <v>0</v>
      </c>
      <c r="S264" s="106">
        <f>SUMIF($G$247:$G$297,"D",$I$247:$I$297)</f>
        <v>0</v>
      </c>
    </row>
    <row r="265" spans="1:19" ht="13.5" customHeight="1">
      <c r="A265" s="64">
        <f>$A$25</f>
        <v>118</v>
      </c>
      <c r="B265" s="93" t="str">
        <f>IF(B$25="","",B$25)</f>
        <v/>
      </c>
      <c r="C265" s="65" t="str">
        <f>IF($C$25="","",$C$25)</f>
        <v/>
      </c>
      <c r="D265" s="66" t="str">
        <f t="shared" ca="1" si="8"/>
        <v/>
      </c>
      <c r="E265" s="67"/>
      <c r="F265" s="64">
        <f>$F$25</f>
        <v>218</v>
      </c>
      <c r="G265" s="93" t="str">
        <f>IF(G$25="","",G$25)</f>
        <v/>
      </c>
      <c r="H265" s="65" t="str">
        <f>IF($H$25="","",$H$25)</f>
        <v/>
      </c>
      <c r="I265" s="66" t="str">
        <f t="shared" ca="1" si="9"/>
        <v/>
      </c>
    </row>
    <row r="266" spans="1:19" ht="13.5" customHeight="1" thickBot="1">
      <c r="A266" s="64">
        <f>$A$26</f>
        <v>119</v>
      </c>
      <c r="B266" s="93" t="str">
        <f>IF(B$26="","",B$26)</f>
        <v/>
      </c>
      <c r="C266" s="65" t="str">
        <f>IF($C$26="","",$C$26)</f>
        <v/>
      </c>
      <c r="D266" s="66" t="str">
        <f t="shared" ca="1" si="8"/>
        <v/>
      </c>
      <c r="E266" s="67"/>
      <c r="F266" s="64">
        <f>$F$26</f>
        <v>219</v>
      </c>
      <c r="G266" s="93" t="str">
        <f>IF(G$26="","",G$26)</f>
        <v/>
      </c>
      <c r="H266" s="65" t="str">
        <f>IF($H$26="","",$H$26)</f>
        <v/>
      </c>
      <c r="I266" s="66" t="str">
        <f t="shared" ca="1" si="9"/>
        <v/>
      </c>
    </row>
    <row r="267" spans="1:19" ht="13.5" customHeight="1">
      <c r="A267" s="64">
        <f>$A$27</f>
        <v>120</v>
      </c>
      <c r="B267" s="93" t="str">
        <f>IF(B$27="","",B$27)</f>
        <v/>
      </c>
      <c r="C267" s="65" t="str">
        <f>IF($C$27="","",$C$27)</f>
        <v/>
      </c>
      <c r="D267" s="66" t="str">
        <f t="shared" ca="1" si="8"/>
        <v/>
      </c>
      <c r="E267" s="67"/>
      <c r="F267" s="64">
        <f>$F$27</f>
        <v>220</v>
      </c>
      <c r="G267" s="93" t="str">
        <f>IF(G$27="","",G$27)</f>
        <v/>
      </c>
      <c r="H267" s="65" t="str">
        <f>IF($H$27="","",$H$27)</f>
        <v/>
      </c>
      <c r="I267" s="66" t="str">
        <f t="shared" ca="1" si="9"/>
        <v/>
      </c>
      <c r="Q267" s="110" t="s">
        <v>89</v>
      </c>
      <c r="S267" s="110" t="s">
        <v>98</v>
      </c>
    </row>
    <row r="268" spans="1:19" ht="13.5" customHeight="1">
      <c r="A268" s="64">
        <f>$A$28</f>
        <v>121</v>
      </c>
      <c r="B268" s="93" t="str">
        <f>IF(B$28="","",B$28)</f>
        <v/>
      </c>
      <c r="C268" s="65" t="str">
        <f>IF($C$28="","",$C$28)</f>
        <v/>
      </c>
      <c r="D268" s="66" t="str">
        <f t="shared" ca="1" si="8"/>
        <v/>
      </c>
      <c r="E268" s="67"/>
      <c r="F268" s="64">
        <f>$F$28</f>
        <v>221</v>
      </c>
      <c r="G268" s="93" t="str">
        <f>IF(G$28="","",G$28)</f>
        <v/>
      </c>
      <c r="H268" s="65" t="str">
        <f>IF($H$28="","",$H$28)</f>
        <v/>
      </c>
      <c r="I268" s="66" t="str">
        <f t="shared" ca="1" si="9"/>
        <v/>
      </c>
      <c r="Q268" s="112" t="str">
        <f>IF(Q$28="","",Q$28)</f>
        <v/>
      </c>
      <c r="S268" s="112" t="str">
        <f>IF(S$28="","",S$28)</f>
        <v/>
      </c>
    </row>
    <row r="269" spans="1:19" ht="13.5" customHeight="1" thickBot="1">
      <c r="A269" s="64">
        <f>$A$29</f>
        <v>122</v>
      </c>
      <c r="B269" s="93" t="str">
        <f>IF(B$29="","",B$29)</f>
        <v/>
      </c>
      <c r="C269" s="65" t="str">
        <f>IF($C$29="","",$C$29)</f>
        <v/>
      </c>
      <c r="D269" s="66" t="str">
        <f t="shared" ca="1" si="8"/>
        <v/>
      </c>
      <c r="E269" s="67"/>
      <c r="F269" s="64">
        <f>$F$29</f>
        <v>222</v>
      </c>
      <c r="G269" s="93" t="str">
        <f>IF(G$29="","",G$29)</f>
        <v/>
      </c>
      <c r="H269" s="65" t="str">
        <f>IF($H$29="","",$H$29)</f>
        <v/>
      </c>
      <c r="I269" s="66" t="str">
        <f t="shared" ca="1" si="9"/>
        <v/>
      </c>
      <c r="Q269" s="105">
        <f>SUMIF($B$247:$B$297,"E",$D$247:$D$297)</f>
        <v>0</v>
      </c>
      <c r="R269" s="104">
        <f>Q269+S269</f>
        <v>0</v>
      </c>
      <c r="S269" s="106">
        <f>SUMIF($G$247:$G$297,"E",$I$247:$I$297)</f>
        <v>0</v>
      </c>
    </row>
    <row r="270" spans="1:19" ht="13.5" customHeight="1">
      <c r="A270" s="64">
        <f>$A$30</f>
        <v>123</v>
      </c>
      <c r="B270" s="93" t="str">
        <f>IF(B$30="","",B$30)</f>
        <v/>
      </c>
      <c r="C270" s="65" t="str">
        <f>IF($C$30="","",$C$30)</f>
        <v/>
      </c>
      <c r="D270" s="66" t="str">
        <f t="shared" ca="1" si="8"/>
        <v/>
      </c>
      <c r="E270" s="67"/>
      <c r="F270" s="64">
        <f>$F$30</f>
        <v>223</v>
      </c>
      <c r="G270" s="93" t="str">
        <f>IF(G$30="","",G$30)</f>
        <v/>
      </c>
      <c r="H270" s="65" t="str">
        <f>IF($H$30="","",$H$30)</f>
        <v/>
      </c>
      <c r="I270" s="66" t="str">
        <f t="shared" ca="1" si="9"/>
        <v/>
      </c>
    </row>
    <row r="271" spans="1:19" ht="13.5" customHeight="1" thickBot="1">
      <c r="A271" s="64">
        <f>$A$31</f>
        <v>124</v>
      </c>
      <c r="B271" s="93" t="str">
        <f>IF(B$31="","",B$31)</f>
        <v/>
      </c>
      <c r="C271" s="65" t="str">
        <f>IF($C$31="","",$C$31)</f>
        <v/>
      </c>
      <c r="D271" s="66" t="str">
        <f t="shared" ca="1" si="8"/>
        <v/>
      </c>
      <c r="E271" s="67"/>
      <c r="F271" s="64">
        <f>$F$31</f>
        <v>224</v>
      </c>
      <c r="G271" s="93" t="str">
        <f>IF(G$31="","",G$31)</f>
        <v/>
      </c>
      <c r="H271" s="65" t="str">
        <f>IF($H$31="","",$H$31)</f>
        <v/>
      </c>
      <c r="I271" s="66" t="str">
        <f t="shared" ca="1" si="9"/>
        <v/>
      </c>
    </row>
    <row r="272" spans="1:19" ht="13.5" customHeight="1">
      <c r="A272" s="64">
        <f>$A$32</f>
        <v>125</v>
      </c>
      <c r="B272" s="154" t="str">
        <f>IF(B$32="","",B$32)</f>
        <v>B</v>
      </c>
      <c r="C272" s="65" t="str">
        <f>IF($C$32="","",$C$32)</f>
        <v>Lohn Nebenerwerb</v>
      </c>
      <c r="D272" s="66">
        <f t="shared" ca="1" si="8"/>
        <v>0</v>
      </c>
      <c r="E272" s="67"/>
      <c r="F272" s="64">
        <f>$F$32</f>
        <v>225</v>
      </c>
      <c r="G272" s="154" t="str">
        <f>IF(G$32="","",G$32)</f>
        <v>B</v>
      </c>
      <c r="H272" s="65" t="str">
        <f>IF($H$32="","",$H$32)</f>
        <v>Nahrung, Kleider, Körperpflege</v>
      </c>
      <c r="I272" s="66">
        <f t="shared" ca="1" si="9"/>
        <v>0</v>
      </c>
      <c r="Q272" s="98" t="s">
        <v>90</v>
      </c>
      <c r="S272" s="98" t="s">
        <v>99</v>
      </c>
    </row>
    <row r="273" spans="1:19" ht="13.5" customHeight="1">
      <c r="A273" s="64">
        <f>$A$33</f>
        <v>126</v>
      </c>
      <c r="B273" s="93" t="str">
        <f>IF(B$33="","",B$33)</f>
        <v/>
      </c>
      <c r="C273" s="65" t="str">
        <f>IF($C$33="","",$C$33)</f>
        <v/>
      </c>
      <c r="D273" s="66" t="str">
        <f t="shared" ca="1" si="8"/>
        <v/>
      </c>
      <c r="E273" s="67"/>
      <c r="F273" s="64">
        <f>$F$33</f>
        <v>226</v>
      </c>
      <c r="G273" s="154" t="str">
        <f>IF(G$33="","",G$33)</f>
        <v>B</v>
      </c>
      <c r="H273" s="65" t="str">
        <f>IF($H$33="","",$H$33)</f>
        <v>Autokosten</v>
      </c>
      <c r="I273" s="66">
        <f t="shared" ca="1" si="9"/>
        <v>0</v>
      </c>
      <c r="Q273" s="112" t="str">
        <f>IF(Q$33="","",Q$33)</f>
        <v/>
      </c>
      <c r="S273" s="112" t="str">
        <f>IF(S$33="","",S$33)</f>
        <v/>
      </c>
    </row>
    <row r="274" spans="1:19" ht="13.5" customHeight="1" thickBot="1">
      <c r="A274" s="64">
        <f>$A$34</f>
        <v>127</v>
      </c>
      <c r="B274" s="93" t="str">
        <f>IF(B$34="","",B$34)</f>
        <v/>
      </c>
      <c r="C274" s="65" t="str">
        <f>IF($C$34="","",$C$34)</f>
        <v/>
      </c>
      <c r="D274" s="66" t="str">
        <f t="shared" ca="1" si="8"/>
        <v/>
      </c>
      <c r="E274" s="67"/>
      <c r="F274" s="64">
        <f>$F$34</f>
        <v>227</v>
      </c>
      <c r="G274" s="154" t="str">
        <f>IF(G$34="","",G$34)</f>
        <v>B</v>
      </c>
      <c r="H274" s="65" t="str">
        <f>IF($H$34="","",$H$34)</f>
        <v>Gesundheit, Krankenkasse, Zahnarzt</v>
      </c>
      <c r="I274" s="66">
        <f t="shared" ca="1" si="9"/>
        <v>0</v>
      </c>
      <c r="Q274" s="105">
        <f>SUMIF($B$247:$B$297,"F",$D$247:$D$297)</f>
        <v>0</v>
      </c>
      <c r="R274" s="104">
        <f>Q274+S274</f>
        <v>0</v>
      </c>
      <c r="S274" s="106">
        <f>SUMIF($G$247:$G$297,"F",$I$247:$I$297)</f>
        <v>0</v>
      </c>
    </row>
    <row r="275" spans="1:19" ht="13.5" customHeight="1">
      <c r="A275" s="64">
        <f>$A$35</f>
        <v>128</v>
      </c>
      <c r="B275" s="93" t="str">
        <f>IF(B$35="","",B$35)</f>
        <v/>
      </c>
      <c r="C275" s="65" t="str">
        <f>IF($C$35="","",$C$35)</f>
        <v/>
      </c>
      <c r="D275" s="66" t="str">
        <f t="shared" ca="1" si="8"/>
        <v/>
      </c>
      <c r="E275" s="67"/>
      <c r="F275" s="64">
        <f>$F$35</f>
        <v>228</v>
      </c>
      <c r="G275" s="154" t="str">
        <f>IF(G$35="","",G$35)</f>
        <v>B</v>
      </c>
      <c r="H275" s="65" t="str">
        <f>IF($H$35="","",$H$35)</f>
        <v>Versicherungen allgemein</v>
      </c>
      <c r="I275" s="66">
        <f t="shared" ca="1" si="9"/>
        <v>0</v>
      </c>
    </row>
    <row r="276" spans="1:19" ht="13.5" customHeight="1" thickBot="1">
      <c r="A276" s="64">
        <f>$A$36</f>
        <v>129</v>
      </c>
      <c r="B276" s="93" t="str">
        <f>IF(B$36="","",B$36)</f>
        <v/>
      </c>
      <c r="C276" s="65" t="str">
        <f>IF($C$36="","",$C$36)</f>
        <v/>
      </c>
      <c r="D276" s="66" t="str">
        <f t="shared" ca="1" si="8"/>
        <v/>
      </c>
      <c r="E276" s="67"/>
      <c r="F276" s="64">
        <f>$F$36</f>
        <v>229</v>
      </c>
      <c r="G276" s="154" t="str">
        <f>IF(G$36="","",G$36)</f>
        <v>B</v>
      </c>
      <c r="H276" s="65" t="str">
        <f>IF($H$36="","",$H$36)</f>
        <v>Büro, Computer, Fotos</v>
      </c>
      <c r="I276" s="66">
        <f t="shared" ca="1" si="9"/>
        <v>0</v>
      </c>
    </row>
    <row r="277" spans="1:19" ht="13.5" customHeight="1">
      <c r="A277" s="64">
        <f>$A$37</f>
        <v>130</v>
      </c>
      <c r="B277" s="93" t="str">
        <f>IF(B$37="","",B$37)</f>
        <v/>
      </c>
      <c r="C277" s="65" t="str">
        <f>IF($C$37="","",$C$37)</f>
        <v/>
      </c>
      <c r="D277" s="66" t="str">
        <f t="shared" ca="1" si="8"/>
        <v/>
      </c>
      <c r="E277" s="67"/>
      <c r="F277" s="64">
        <f>$F$37</f>
        <v>230</v>
      </c>
      <c r="G277" s="154" t="str">
        <f>IF(G$37="","",G$37)</f>
        <v>B</v>
      </c>
      <c r="H277" s="65" t="str">
        <f>IF($H$37="","",$H$37)</f>
        <v>Ferien, Ausflüge</v>
      </c>
      <c r="I277" s="66">
        <f t="shared" ca="1" si="9"/>
        <v>0</v>
      </c>
      <c r="Q277" s="99" t="s">
        <v>91</v>
      </c>
      <c r="S277" s="99" t="s">
        <v>100</v>
      </c>
    </row>
    <row r="278" spans="1:19" ht="13.5" customHeight="1">
      <c r="A278" s="64">
        <f>$A$38</f>
        <v>131</v>
      </c>
      <c r="B278" s="93" t="str">
        <f>IF(B$38="","",B$38)</f>
        <v/>
      </c>
      <c r="C278" s="65" t="str">
        <f>IF($C$38="","",$C$38)</f>
        <v/>
      </c>
      <c r="D278" s="66" t="str">
        <f t="shared" ca="1" si="8"/>
        <v/>
      </c>
      <c r="E278" s="67"/>
      <c r="F278" s="64">
        <f>$F$38</f>
        <v>231</v>
      </c>
      <c r="G278" s="154" t="str">
        <f>IF(G$38="","",G$38)</f>
        <v>B</v>
      </c>
      <c r="H278" s="65" t="str">
        <f>IF($H$38="","",$H$38)</f>
        <v>Freizeit, Vergnügen, Unterhaltung</v>
      </c>
      <c r="I278" s="66">
        <f t="shared" ca="1" si="9"/>
        <v>0</v>
      </c>
      <c r="Q278" s="112" t="str">
        <f>IF(Q$38="","",Q$38)</f>
        <v/>
      </c>
      <c r="S278" s="112" t="str">
        <f>IF(S$38="","",S$38)</f>
        <v/>
      </c>
    </row>
    <row r="279" spans="1:19" ht="13.5" customHeight="1" thickBot="1">
      <c r="A279" s="64">
        <f>$A$39</f>
        <v>132</v>
      </c>
      <c r="B279" s="154" t="str">
        <f>IF(B$39="","",B$39)</f>
        <v>B</v>
      </c>
      <c r="C279" s="65" t="str">
        <f>IF($C$39="","",$C$39)</f>
        <v>Feuerwehrsold</v>
      </c>
      <c r="D279" s="66">
        <f t="shared" ca="1" si="8"/>
        <v>0</v>
      </c>
      <c r="E279" s="67"/>
      <c r="F279" s="64">
        <f>$F$39</f>
        <v>232</v>
      </c>
      <c r="G279" s="154" t="str">
        <f>IF(G$39="","",G$39)</f>
        <v>B</v>
      </c>
      <c r="H279" s="65" t="str">
        <f>IF($H$39="","",$H$39)</f>
        <v>Telefon</v>
      </c>
      <c r="I279" s="66">
        <f t="shared" ca="1" si="9"/>
        <v>0</v>
      </c>
      <c r="Q279" s="105">
        <f>SUMIF($B$247:$B$297,"G",$D$247:$D$297)</f>
        <v>0</v>
      </c>
      <c r="R279" s="104">
        <f>Q279+S279</f>
        <v>0</v>
      </c>
      <c r="S279" s="106">
        <f>SUMIF($G$247:$G$297,"G",$I$247:$I$297)</f>
        <v>0</v>
      </c>
    </row>
    <row r="280" spans="1:19" ht="13.5" customHeight="1">
      <c r="A280" s="64">
        <f>$A$40</f>
        <v>133</v>
      </c>
      <c r="B280" s="93" t="str">
        <f>IF(B$40="","",B$40)</f>
        <v/>
      </c>
      <c r="C280" s="65" t="str">
        <f>IF($C$40="","",$C$40)</f>
        <v/>
      </c>
      <c r="D280" s="66" t="str">
        <f t="shared" ca="1" si="8"/>
        <v/>
      </c>
      <c r="E280" s="67"/>
      <c r="F280" s="64">
        <f>$F$40</f>
        <v>233</v>
      </c>
      <c r="G280" s="154" t="str">
        <f>IF(G$40="","",G$40)</f>
        <v>B</v>
      </c>
      <c r="H280" s="65" t="str">
        <f>IF($H$40="","",$H$40)</f>
        <v>Öffentlicher Verkehr und Velo</v>
      </c>
      <c r="I280" s="66">
        <f t="shared" ca="1" si="9"/>
        <v>0</v>
      </c>
    </row>
    <row r="281" spans="1:19" ht="13.5" customHeight="1" thickBot="1">
      <c r="A281" s="64">
        <f>$A$41</f>
        <v>134</v>
      </c>
      <c r="B281" s="93" t="str">
        <f>IF(B$41="","",B$41)</f>
        <v/>
      </c>
      <c r="C281" s="65" t="str">
        <f>IF($C$41="","",$C$41)</f>
        <v/>
      </c>
      <c r="D281" s="66" t="str">
        <f t="shared" ca="1" si="8"/>
        <v/>
      </c>
      <c r="E281" s="67"/>
      <c r="F281" s="64">
        <f>$F$41</f>
        <v>234</v>
      </c>
      <c r="G281" s="154" t="str">
        <f>IF(G$41="","",G$41)</f>
        <v>B</v>
      </c>
      <c r="H281" s="65" t="str">
        <f>IF($H$41="","",$H$41)</f>
        <v>Möbel, Wohnungseinrichtung</v>
      </c>
      <c r="I281" s="66">
        <f t="shared" ca="1" si="9"/>
        <v>0</v>
      </c>
    </row>
    <row r="282" spans="1:19" ht="13.5" customHeight="1">
      <c r="A282" s="64">
        <f>$A$42</f>
        <v>135</v>
      </c>
      <c r="B282" s="93" t="str">
        <f>IF(B$42="","",B$42)</f>
        <v/>
      </c>
      <c r="C282" s="65" t="str">
        <f>IF($C$42="","",$C$42)</f>
        <v/>
      </c>
      <c r="D282" s="66" t="str">
        <f t="shared" ca="1" si="8"/>
        <v/>
      </c>
      <c r="E282" s="67"/>
      <c r="F282" s="64">
        <f>$F$42</f>
        <v>235</v>
      </c>
      <c r="G282" s="154" t="str">
        <f>IF(G$42="","",G$42)</f>
        <v>B</v>
      </c>
      <c r="H282" s="65" t="str">
        <f>IF($H$42="","",$H$42)</f>
        <v>Kosten IT Consulting / Webdesign</v>
      </c>
      <c r="I282" s="66">
        <f t="shared" ca="1" si="9"/>
        <v>0</v>
      </c>
      <c r="Q282" s="100" t="s">
        <v>92</v>
      </c>
      <c r="S282" s="100" t="s">
        <v>101</v>
      </c>
    </row>
    <row r="283" spans="1:19" ht="13.5" customHeight="1">
      <c r="A283" s="64">
        <f>$A$43</f>
        <v>136</v>
      </c>
      <c r="B283" s="93" t="str">
        <f>IF(B$43="","",B$43)</f>
        <v/>
      </c>
      <c r="C283" s="65" t="str">
        <f>IF($C$43="","",$C$43)</f>
        <v/>
      </c>
      <c r="D283" s="66" t="str">
        <f t="shared" ca="1" si="8"/>
        <v/>
      </c>
      <c r="E283" s="67"/>
      <c r="F283" s="64">
        <f>$F$43</f>
        <v>236</v>
      </c>
      <c r="G283" s="154" t="str">
        <f>IF(G$43="","",G$43)</f>
        <v>B</v>
      </c>
      <c r="H283" s="65" t="str">
        <f>IF($H$43="","",$H$43)</f>
        <v>Schule und Bildung Kinder</v>
      </c>
      <c r="I283" s="66">
        <f t="shared" ca="1" si="9"/>
        <v>0</v>
      </c>
      <c r="Q283" s="112" t="str">
        <f>IF(Q$43="","",Q$43)</f>
        <v/>
      </c>
      <c r="S283" s="112" t="str">
        <f>IF(S$43="","",S$43)</f>
        <v/>
      </c>
    </row>
    <row r="284" spans="1:19" ht="13.5" customHeight="1" thickBot="1">
      <c r="A284" s="64">
        <f>$A$44</f>
        <v>137</v>
      </c>
      <c r="B284" s="93" t="str">
        <f>IF(B$44="","",B$44)</f>
        <v/>
      </c>
      <c r="C284" s="65" t="str">
        <f>IF($C$44="","",$C$44)</f>
        <v/>
      </c>
      <c r="D284" s="66" t="str">
        <f t="shared" ca="1" si="8"/>
        <v/>
      </c>
      <c r="E284" s="67"/>
      <c r="F284" s="64">
        <f>$F$44</f>
        <v>237</v>
      </c>
      <c r="G284" s="154" t="str">
        <f>IF(G$44="","",G$44)</f>
        <v>B</v>
      </c>
      <c r="H284" s="65" t="str">
        <f>IF($H$44="","",$H$44)</f>
        <v>Org. Freizeitaktivitäten der Kinder</v>
      </c>
      <c r="I284" s="66">
        <f t="shared" ca="1" si="9"/>
        <v>0</v>
      </c>
      <c r="Q284" s="105">
        <f>SUMIF($B$247:$B$297,"H",$D$247:$D$297)</f>
        <v>0</v>
      </c>
      <c r="R284" s="104">
        <f>Q284+S284</f>
        <v>0</v>
      </c>
      <c r="S284" s="106">
        <f>SUMIF($G$247:$G$297,"H",$I$247:$I$297)</f>
        <v>0</v>
      </c>
    </row>
    <row r="285" spans="1:19" ht="13.5" customHeight="1">
      <c r="A285" s="64">
        <f>$A$45</f>
        <v>138</v>
      </c>
      <c r="B285" s="93" t="str">
        <f>IF(B$45="","",B$45)</f>
        <v/>
      </c>
      <c r="C285" s="65" t="str">
        <f>IF($C$45="","",$C$45)</f>
        <v/>
      </c>
      <c r="D285" s="66" t="str">
        <f t="shared" ca="1" si="8"/>
        <v/>
      </c>
      <c r="E285" s="67"/>
      <c r="F285" s="64">
        <f>$F$45</f>
        <v>238</v>
      </c>
      <c r="G285" s="93" t="str">
        <f>IF(G$45="","",G$45)</f>
        <v/>
      </c>
      <c r="H285" s="65" t="str">
        <f>IF($H$45="","",$H$45)</f>
        <v/>
      </c>
      <c r="I285" s="66" t="str">
        <f t="shared" ca="1" si="9"/>
        <v/>
      </c>
    </row>
    <row r="286" spans="1:19" ht="13.5" customHeight="1" thickBot="1">
      <c r="A286" s="64">
        <f>$A$46</f>
        <v>139</v>
      </c>
      <c r="B286" s="93" t="str">
        <f>IF(B$46="","",B$46)</f>
        <v/>
      </c>
      <c r="C286" s="65" t="str">
        <f>IF($C$46="","",$C$46)</f>
        <v/>
      </c>
      <c r="D286" s="66" t="str">
        <f t="shared" ca="1" si="8"/>
        <v/>
      </c>
      <c r="E286" s="67"/>
      <c r="F286" s="64">
        <f>$F$46</f>
        <v>239</v>
      </c>
      <c r="G286" s="154" t="str">
        <f>IF(G$46="","",G$46)</f>
        <v>B</v>
      </c>
      <c r="H286" s="65" t="str">
        <f>IF($H$46="","",$H$46)</f>
        <v>Wohltätige Spenden</v>
      </c>
      <c r="I286" s="66">
        <f t="shared" ca="1" si="9"/>
        <v>0</v>
      </c>
    </row>
    <row r="287" spans="1:19" ht="13.5" customHeight="1">
      <c r="A287" s="64">
        <f>$A$47</f>
        <v>140</v>
      </c>
      <c r="B287" s="93" t="str">
        <f>IF(B$47="","",B$47)</f>
        <v/>
      </c>
      <c r="C287" s="65" t="str">
        <f>IF($C$47="","",$C$47)</f>
        <v/>
      </c>
      <c r="D287" s="66" t="str">
        <f t="shared" ca="1" si="8"/>
        <v/>
      </c>
      <c r="E287" s="67"/>
      <c r="F287" s="64">
        <f>$F$47</f>
        <v>240</v>
      </c>
      <c r="G287" s="154" t="str">
        <f>IF(G$47="","",G$47)</f>
        <v>B</v>
      </c>
      <c r="H287" s="65" t="str">
        <f>IF($H$47="","",$H$47)</f>
        <v>Vorsorgesparen 3a / PK Einkauf</v>
      </c>
      <c r="I287" s="66">
        <f t="shared" ca="1" si="9"/>
        <v>0</v>
      </c>
      <c r="Q287" s="101" t="s">
        <v>93</v>
      </c>
      <c r="S287" s="101" t="s">
        <v>102</v>
      </c>
    </row>
    <row r="288" spans="1:19" ht="13.5" customHeight="1">
      <c r="A288" s="64">
        <f>$A$48</f>
        <v>141</v>
      </c>
      <c r="B288" s="93" t="str">
        <f>IF(B$48="","",B$48)</f>
        <v/>
      </c>
      <c r="C288" s="65" t="str">
        <f>IF($C$48="","",$C$48)</f>
        <v/>
      </c>
      <c r="D288" s="66" t="str">
        <f t="shared" ca="1" si="8"/>
        <v/>
      </c>
      <c r="E288" s="67"/>
      <c r="F288" s="64">
        <f>$F$48</f>
        <v>241</v>
      </c>
      <c r="G288" s="93" t="str">
        <f>IF(G$48="","",G$48)</f>
        <v/>
      </c>
      <c r="H288" s="65" t="str">
        <f>IF($H$48="","",$H$48)</f>
        <v/>
      </c>
      <c r="I288" s="66" t="str">
        <f t="shared" ca="1" si="9"/>
        <v/>
      </c>
      <c r="Q288" s="112" t="str">
        <f>IF(Q$48="","",Q$48)</f>
        <v/>
      </c>
      <c r="S288" s="112" t="str">
        <f>IF(S$48="","",S$48)</f>
        <v/>
      </c>
    </row>
    <row r="289" spans="1:19" ht="13.5" customHeight="1" thickBot="1">
      <c r="A289" s="64">
        <f>$A$49</f>
        <v>142</v>
      </c>
      <c r="B289" s="93" t="str">
        <f>IF(B$49="","",B$49)</f>
        <v/>
      </c>
      <c r="C289" s="65" t="str">
        <f>IF($C$49="","",$C$49)</f>
        <v/>
      </c>
      <c r="D289" s="66" t="str">
        <f t="shared" ca="1" si="8"/>
        <v/>
      </c>
      <c r="E289" s="67"/>
      <c r="F289" s="64">
        <f>$F$49</f>
        <v>242</v>
      </c>
      <c r="G289" s="93" t="str">
        <f>IF(G$49="","",G$49)</f>
        <v/>
      </c>
      <c r="H289" s="65" t="str">
        <f>IF($H$49="","",$H$49)</f>
        <v/>
      </c>
      <c r="I289" s="66" t="str">
        <f t="shared" ca="1" si="9"/>
        <v/>
      </c>
      <c r="Q289" s="105">
        <f>SUMIF($B$247:$B$297,"I",$D$247:$D$297)</f>
        <v>0</v>
      </c>
      <c r="R289" s="104">
        <f>Q289+S289</f>
        <v>0</v>
      </c>
      <c r="S289" s="106">
        <f>SUMIF($G$247:$G$297,"I",$I$247:$I$297)</f>
        <v>0</v>
      </c>
    </row>
    <row r="290" spans="1:19" ht="13.5" customHeight="1">
      <c r="A290" s="64">
        <f>$A$50</f>
        <v>143</v>
      </c>
      <c r="B290" s="93" t="str">
        <f>IF(B$50="","",B$50)</f>
        <v/>
      </c>
      <c r="C290" s="65" t="str">
        <f>IF($C$50="","",$C$50)</f>
        <v/>
      </c>
      <c r="D290" s="66" t="str">
        <f t="shared" ca="1" si="8"/>
        <v/>
      </c>
      <c r="E290" s="67"/>
      <c r="F290" s="64">
        <f>$F$50</f>
        <v>243</v>
      </c>
      <c r="G290" s="154" t="str">
        <f>IF(G$50="","",G$50)</f>
        <v>B</v>
      </c>
      <c r="H290" s="65" t="str">
        <f>IF($H$50="","",$H$50)</f>
        <v>Wasser</v>
      </c>
      <c r="I290" s="66">
        <f t="shared" ca="1" si="9"/>
        <v>0</v>
      </c>
    </row>
    <row r="291" spans="1:19" ht="13.5" customHeight="1" thickBot="1">
      <c r="A291" s="64">
        <f>$A$51</f>
        <v>144</v>
      </c>
      <c r="B291" s="93" t="str">
        <f>IF(B$51="","",B$51)</f>
        <v/>
      </c>
      <c r="C291" s="65" t="str">
        <f>IF($C$51="","",$C$51)</f>
        <v/>
      </c>
      <c r="D291" s="66" t="str">
        <f t="shared" ca="1" si="8"/>
        <v/>
      </c>
      <c r="E291" s="67"/>
      <c r="F291" s="64">
        <f>$F$51</f>
        <v>244</v>
      </c>
      <c r="G291" s="154" t="str">
        <f>IF(G$51="","",G$51)</f>
        <v>B</v>
      </c>
      <c r="H291" s="65" t="str">
        <f>IF($H$51="","",$H$51)</f>
        <v>Strom</v>
      </c>
      <c r="I291" s="66">
        <f t="shared" ca="1" si="9"/>
        <v>0</v>
      </c>
    </row>
    <row r="292" spans="1:19" ht="13.5" customHeight="1">
      <c r="A292" s="64">
        <f>$A$52</f>
        <v>145</v>
      </c>
      <c r="B292" s="93" t="str">
        <f>IF(B$52="","",B$52)</f>
        <v/>
      </c>
      <c r="C292" s="65" t="str">
        <f>IF($C$52="","",$C$52)</f>
        <v/>
      </c>
      <c r="D292" s="66" t="str">
        <f t="shared" ca="1" si="8"/>
        <v/>
      </c>
      <c r="E292" s="67"/>
      <c r="F292" s="64">
        <f>$F$52</f>
        <v>245</v>
      </c>
      <c r="G292" s="154" t="str">
        <f>IF(G$52="","",G$52)</f>
        <v>B</v>
      </c>
      <c r="H292" s="65" t="str">
        <f>IF($H$52="","",$H$52)</f>
        <v>Geschenke</v>
      </c>
      <c r="I292" s="66">
        <f t="shared" ca="1" si="9"/>
        <v>0</v>
      </c>
      <c r="Q292" s="102" t="s">
        <v>94</v>
      </c>
      <c r="S292" s="102" t="s">
        <v>103</v>
      </c>
    </row>
    <row r="293" spans="1:19" ht="13.5" customHeight="1">
      <c r="A293" s="64">
        <f>$A$53</f>
        <v>146</v>
      </c>
      <c r="B293" s="93" t="str">
        <f>IF(B$53="","",B$53)</f>
        <v/>
      </c>
      <c r="C293" s="65" t="str">
        <f>IF($C$53="","",$C$53)</f>
        <v/>
      </c>
      <c r="D293" s="66" t="str">
        <f t="shared" ca="1" si="8"/>
        <v/>
      </c>
      <c r="E293" s="67"/>
      <c r="F293" s="64">
        <f>$F$53</f>
        <v>246</v>
      </c>
      <c r="G293" s="154" t="str">
        <f>IF(G$53="","",G$53)</f>
        <v>B</v>
      </c>
      <c r="H293" s="65" t="str">
        <f>IF($H$53="","",$H$53)</f>
        <v>Erwachsenenbildung</v>
      </c>
      <c r="I293" s="66">
        <f t="shared" ca="1" si="9"/>
        <v>0</v>
      </c>
      <c r="Q293" s="112" t="str">
        <f>IF(Q$53="","",Q$53)</f>
        <v/>
      </c>
      <c r="S293" s="112" t="str">
        <f>IF(S$53="","",S$53)</f>
        <v/>
      </c>
    </row>
    <row r="294" spans="1:19" ht="13.5" customHeight="1" thickBot="1">
      <c r="A294" s="64">
        <f>$A$54</f>
        <v>147</v>
      </c>
      <c r="B294" s="154" t="str">
        <f>IF(B$54="","",B$54)</f>
        <v>B</v>
      </c>
      <c r="C294" s="65" t="str">
        <f>IF($C$54="","",$C$54)</f>
        <v>Diverse Privateinnahmen</v>
      </c>
      <c r="D294" s="66">
        <f t="shared" ca="1" si="8"/>
        <v>0</v>
      </c>
      <c r="E294" s="67"/>
      <c r="F294" s="64">
        <f>$F$54</f>
        <v>247</v>
      </c>
      <c r="G294" s="154" t="str">
        <f>IF(G$54="","",G$54)</f>
        <v>B</v>
      </c>
      <c r="H294" s="65" t="str">
        <f>IF($H$54="","",$H$54)</f>
        <v>Diverse Privatausgaben</v>
      </c>
      <c r="I294" s="66">
        <f t="shared" ca="1" si="9"/>
        <v>0</v>
      </c>
      <c r="Q294" s="105">
        <f>SUMIF($B$247:$B$297,"K",$D$247:$D$297)</f>
        <v>0</v>
      </c>
      <c r="R294" s="104">
        <f>Q294+S294</f>
        <v>0</v>
      </c>
      <c r="S294" s="106">
        <f>SUMIF($G$247:$G$297,"K",$I$247:$I$297)</f>
        <v>0</v>
      </c>
    </row>
    <row r="295" spans="1:19" ht="13.5" customHeight="1">
      <c r="A295" s="64">
        <f>$A$55</f>
        <v>148</v>
      </c>
      <c r="B295" s="93" t="str">
        <f>IF(B$55="","",B$55)</f>
        <v/>
      </c>
      <c r="C295" s="65" t="str">
        <f>IF($C$55="","",$C$55)</f>
        <v/>
      </c>
      <c r="D295" s="66" t="str">
        <f t="shared" ca="1" si="8"/>
        <v/>
      </c>
      <c r="E295" s="67"/>
      <c r="F295" s="64">
        <f>$F$55</f>
        <v>248</v>
      </c>
      <c r="G295" s="154" t="str">
        <f>IF(G$55="","",G$55)</f>
        <v>B</v>
      </c>
      <c r="H295" s="65" t="str">
        <f>IF($H$55="","",$H$55)</f>
        <v>Private Vereinsbeiträge</v>
      </c>
      <c r="I295" s="66">
        <f t="shared" ca="1" si="9"/>
        <v>0</v>
      </c>
    </row>
    <row r="296" spans="1:19" ht="13.5" customHeight="1" thickBot="1">
      <c r="A296" s="64">
        <f>$A$56</f>
        <v>149</v>
      </c>
      <c r="B296" s="93" t="str">
        <f>IF(B$56="","",B$56)</f>
        <v/>
      </c>
      <c r="C296" s="65" t="str">
        <f>IF($C$56="","",$C$56)</f>
        <v/>
      </c>
      <c r="D296" s="66" t="str">
        <f t="shared" ca="1" si="8"/>
        <v/>
      </c>
      <c r="E296" s="67"/>
      <c r="F296" s="64">
        <f>$F$56</f>
        <v>249</v>
      </c>
      <c r="G296" s="154" t="str">
        <f>IF(G$56="","",G$56)</f>
        <v>B</v>
      </c>
      <c r="H296" s="65" t="str">
        <f>IF($H$56="","",$H$56)</f>
        <v>Spesen Vermögensverwaltung</v>
      </c>
      <c r="I296" s="66">
        <f t="shared" ca="1" si="9"/>
        <v>0</v>
      </c>
    </row>
    <row r="297" spans="1:19" ht="13.5" customHeight="1" thickBot="1">
      <c r="A297" s="64">
        <f>$A$57</f>
        <v>150</v>
      </c>
      <c r="B297" s="154" t="str">
        <f>IF(B$57="","",B$57)</f>
        <v>B</v>
      </c>
      <c r="C297" s="65" t="str">
        <f>IF($C$57="","",$C$57)</f>
        <v>Zinsen, Zinssteuererstattungen</v>
      </c>
      <c r="D297" s="66">
        <f t="shared" ca="1" si="8"/>
        <v>0</v>
      </c>
      <c r="E297" s="67"/>
      <c r="F297" s="64">
        <f>$F$57</f>
        <v>250</v>
      </c>
      <c r="G297" s="154" t="str">
        <f>IF(G$57="","",G$57)</f>
        <v>B</v>
      </c>
      <c r="H297" s="65" t="str">
        <f>IF($H$57="","",$H$57)</f>
        <v>Steuern</v>
      </c>
      <c r="I297" s="66">
        <f t="shared" ca="1" si="9"/>
        <v>0</v>
      </c>
      <c r="L297" s="119">
        <f ca="1">L249+L254+L259+L264+L269+L274+L279+L284+L289+L294</f>
        <v>0</v>
      </c>
      <c r="M297" s="120" t="s">
        <v>111</v>
      </c>
      <c r="N297" s="121">
        <f ca="1">N249+N254+N259+N264+N269+N274+N279+N284+N289+N294</f>
        <v>0</v>
      </c>
      <c r="Q297" s="119">
        <f ca="1">Q249+Q254+Q259+Q264+Q269+Q274+Q279+Q284+Q289+Q294</f>
        <v>0</v>
      </c>
      <c r="R297" s="120" t="s">
        <v>111</v>
      </c>
      <c r="S297" s="121">
        <f ca="1">S249+S254+S259+S264+S269+S274+S279+S284+S289+S294</f>
        <v>0</v>
      </c>
    </row>
    <row r="298" spans="1:19" ht="13.5" customHeight="1" thickTop="1" thickBot="1">
      <c r="A298" s="68" t="s">
        <v>38</v>
      </c>
      <c r="B298" s="91"/>
      <c r="C298" s="69"/>
      <c r="D298" s="70">
        <f ca="1">SUM(D247:D297)</f>
        <v>0</v>
      </c>
      <c r="F298" s="68" t="s">
        <v>39</v>
      </c>
      <c r="G298" s="91"/>
      <c r="H298" s="69"/>
      <c r="I298" s="70">
        <f ca="1">SUM(I247:I297)</f>
        <v>0</v>
      </c>
      <c r="L298" s="117">
        <f ca="1">$D$298</f>
        <v>0</v>
      </c>
      <c r="M298" s="41" t="s">
        <v>110</v>
      </c>
      <c r="N298" s="116">
        <f ca="1">$I$298</f>
        <v>0</v>
      </c>
      <c r="Q298" s="117">
        <f ca="1">$D$298</f>
        <v>0</v>
      </c>
      <c r="R298" s="41" t="s">
        <v>110</v>
      </c>
      <c r="S298" s="116">
        <f ca="1">$I$298</f>
        <v>0</v>
      </c>
    </row>
    <row r="299" spans="1:19" ht="13.5" customHeight="1" thickTop="1">
      <c r="A299" s="71" t="s">
        <v>109</v>
      </c>
      <c r="B299" s="92"/>
      <c r="C299" s="72"/>
      <c r="D299" s="148">
        <f ca="1">Mai!$E$7</f>
        <v>0</v>
      </c>
      <c r="F299" s="71" t="s">
        <v>109</v>
      </c>
      <c r="G299" s="92"/>
      <c r="H299" s="72"/>
      <c r="I299" s="148">
        <f ca="1">Mai!$G$7</f>
        <v>0</v>
      </c>
      <c r="L299" s="114">
        <f ca="1">L249+L254+L259+L264+L269+L274+L279+L284+L289+L294+SUMIF($B$247:$B$297,"",$D$247:$D$297)</f>
        <v>0</v>
      </c>
      <c r="M299" s="115" t="s">
        <v>107</v>
      </c>
      <c r="N299" s="114">
        <f ca="1">N249+N254+N259+N264+N269+N274+N279+N284+N289+N294+SUMIF($G$247:$G$297,"",$I$247:$I$297)</f>
        <v>0</v>
      </c>
      <c r="Q299" s="114">
        <f ca="1">Q249+Q254+Q259+Q264+Q269+Q274+Q279+Q284+Q289+Q294+SUMIF($B$247:$B$297,"",$D$247:$D$297)</f>
        <v>0</v>
      </c>
      <c r="R299" s="115" t="s">
        <v>107</v>
      </c>
      <c r="S299" s="114">
        <f ca="1">S249+S254+S259+S264+S269+S274+S279+S284+S289+S294+SUMIF($G$247:$G$297,"",$I$247:$I$297)</f>
        <v>0</v>
      </c>
    </row>
    <row r="300" spans="1:19" ht="13.5" customHeight="1"/>
    <row r="301" spans="1:19" ht="15.95" customHeight="1">
      <c r="A301" s="57" t="str">
        <f>$A$1</f>
        <v>Einnahmen und Ausgaben nach Kategorien</v>
      </c>
      <c r="B301" s="33"/>
      <c r="C301" s="58"/>
      <c r="D301" s="58"/>
      <c r="E301" s="58"/>
      <c r="F301" s="58"/>
      <c r="G301" s="34"/>
      <c r="H301" s="58"/>
      <c r="I301" s="59" t="str">
        <f>CONCATENATE("Juni ",$A$2)</f>
        <v xml:space="preserve">Juni </v>
      </c>
      <c r="L301" s="33" t="str">
        <f>CONCATENATE("Kategoriengruppen Juni ",$A$2)</f>
        <v xml:space="preserve">Kategoriengruppen Juni </v>
      </c>
      <c r="Q301" s="33" t="str">
        <f>CONCATENATE("Kategoriengruppen Juni ",$A$2)</f>
        <v xml:space="preserve">Kategoriengruppen Juni </v>
      </c>
    </row>
    <row r="302" spans="1:19" ht="13.5" customHeight="1"/>
    <row r="303" spans="1:19" ht="13.5" customHeight="1"/>
    <row r="304" spans="1:19" ht="13.5" customHeight="1">
      <c r="A304" s="60" t="s">
        <v>40</v>
      </c>
      <c r="B304" s="39"/>
      <c r="C304" s="60"/>
      <c r="D304" s="60"/>
      <c r="F304" s="60" t="s">
        <v>41</v>
      </c>
      <c r="G304" s="39"/>
      <c r="H304" s="60"/>
      <c r="I304" s="60"/>
      <c r="L304" s="39" t="s">
        <v>84</v>
      </c>
      <c r="M304" s="103" t="s">
        <v>106</v>
      </c>
      <c r="N304" s="39" t="s">
        <v>85</v>
      </c>
      <c r="Q304" s="39" t="s">
        <v>84</v>
      </c>
      <c r="R304" s="103" t="s">
        <v>106</v>
      </c>
      <c r="S304" s="39" t="s">
        <v>85</v>
      </c>
    </row>
    <row r="305" spans="1:19" ht="13.5" customHeight="1" thickBot="1"/>
    <row r="306" spans="1:19" ht="13.5" customHeight="1" thickTop="1" thickBot="1">
      <c r="A306" s="61" t="s">
        <v>24</v>
      </c>
      <c r="B306" s="90" t="s">
        <v>82</v>
      </c>
      <c r="C306" s="62" t="s">
        <v>25</v>
      </c>
      <c r="D306" s="63" t="str">
        <f>$D$6</f>
        <v>CHF</v>
      </c>
      <c r="F306" s="61" t="s">
        <v>24</v>
      </c>
      <c r="G306" s="90" t="s">
        <v>82</v>
      </c>
      <c r="H306" s="62" t="s">
        <v>25</v>
      </c>
      <c r="I306" s="63" t="str">
        <f>$D$6</f>
        <v>CHF</v>
      </c>
    </row>
    <row r="307" spans="1:19" ht="13.5" customHeight="1" thickTop="1">
      <c r="A307" s="64">
        <f>$A$7</f>
        <v>100</v>
      </c>
      <c r="B307" s="153" t="str">
        <f>IF(B$7="","",B$7)</f>
        <v>A</v>
      </c>
      <c r="C307" s="65" t="str">
        <f>IF($C$7="","",$C$7)</f>
        <v>Ladenverkauf</v>
      </c>
      <c r="D307" s="66">
        <f ca="1">IF(C307="","",SUMIF(INDIRECT("Juni!$D$15:$D$16000"),A307,INDIRECT("Juni!$E$15:$E$16000")))</f>
        <v>0</v>
      </c>
      <c r="E307" s="67"/>
      <c r="F307" s="64">
        <f>$F$7</f>
        <v>200</v>
      </c>
      <c r="G307" s="153" t="str">
        <f>IF(G$7="","",G$7)</f>
        <v>A</v>
      </c>
      <c r="H307" s="65" t="str">
        <f>IF($H$7="","",$H$7)</f>
        <v>Maschinen und Geräte</v>
      </c>
      <c r="I307" s="66">
        <f ca="1">IF(H307="","",SUMIF(INDIRECT("Juni!$F$15:$F$16000"),F307,INDIRECT("Juni!$G$15:$G$16000")))</f>
        <v>0</v>
      </c>
      <c r="L307" s="95" t="s">
        <v>83</v>
      </c>
      <c r="N307" s="95" t="s">
        <v>104</v>
      </c>
      <c r="Q307" s="95" t="s">
        <v>83</v>
      </c>
      <c r="S307" s="95" t="s">
        <v>104</v>
      </c>
    </row>
    <row r="308" spans="1:19" ht="13.5" customHeight="1">
      <c r="A308" s="64">
        <f>$A$8</f>
        <v>101</v>
      </c>
      <c r="B308" s="153" t="str">
        <f>IF(B$8="","",B$8)</f>
        <v>A</v>
      </c>
      <c r="C308" s="65" t="str">
        <f>IF($C$8="","",$C$8)</f>
        <v>Verkauf über Internet</v>
      </c>
      <c r="D308" s="66">
        <f t="shared" ref="D308:D357" ca="1" si="10">IF(C308="","",SUMIF(INDIRECT("Juni!$D$15:$D$16000"),A308,INDIRECT("Juni!$E$15:$E$16000")))</f>
        <v>0</v>
      </c>
      <c r="E308" s="67"/>
      <c r="F308" s="64">
        <f>$F$8</f>
        <v>201</v>
      </c>
      <c r="G308" s="153" t="str">
        <f>IF(G$8="","",G$8)</f>
        <v>A</v>
      </c>
      <c r="H308" s="65" t="str">
        <f>IF($H$8="","",$H$8)</f>
        <v>Ladenmiete</v>
      </c>
      <c r="I308" s="66">
        <f t="shared" ref="I308:I357" ca="1" si="11">IF(H308="","",SUMIF(INDIRECT("Juni!$F$15:$F$16000"),F308,INDIRECT("Juni!$G$15:$G$16000")))</f>
        <v>0</v>
      </c>
      <c r="L308" s="112" t="str">
        <f>IF(L$8="","",L$8)</f>
        <v>Landwirtschaft</v>
      </c>
      <c r="N308" s="112" t="str">
        <f>IF(N$8="","",N$8)</f>
        <v>Landwirtschaft</v>
      </c>
      <c r="Q308" s="112" t="str">
        <f>IF(Q$8="","",Q$8)</f>
        <v/>
      </c>
      <c r="S308" s="112" t="str">
        <f>IF(S$8="","",S$8)</f>
        <v/>
      </c>
    </row>
    <row r="309" spans="1:19" ht="13.5" customHeight="1" thickBot="1">
      <c r="A309" s="64">
        <f>$A$9</f>
        <v>102</v>
      </c>
      <c r="B309" s="93" t="str">
        <f>IF(B$9="","",B$9)</f>
        <v/>
      </c>
      <c r="C309" s="65" t="str">
        <f>IF($C$9="","",$C$9)</f>
        <v/>
      </c>
      <c r="D309" s="66" t="str">
        <f t="shared" ca="1" si="10"/>
        <v/>
      </c>
      <c r="E309" s="67"/>
      <c r="F309" s="64">
        <f>$F$9</f>
        <v>202</v>
      </c>
      <c r="G309" s="153" t="str">
        <f>IF(G$9="","",G$9)</f>
        <v>A</v>
      </c>
      <c r="H309" s="65" t="str">
        <f>IF($H$9="","",$H$9)</f>
        <v>Werbeausgaben</v>
      </c>
      <c r="I309" s="66">
        <f t="shared" ca="1" si="11"/>
        <v>0</v>
      </c>
      <c r="L309" s="105">
        <f ca="1">SUMIF($B$307:$B$357,"A",$D$307:$D$357)</f>
        <v>0</v>
      </c>
      <c r="M309" s="104">
        <f ca="1">L309+N309</f>
        <v>0</v>
      </c>
      <c r="N309" s="106">
        <f ca="1">SUMIF($G$307:$G$357,"A",$I$307:$I$357)</f>
        <v>0</v>
      </c>
      <c r="Q309" s="105">
        <f ca="1">SUMIF($B$307:$B$357,"A",$D$307:$D$357)</f>
        <v>0</v>
      </c>
      <c r="R309" s="104">
        <f ca="1">Q309+S309</f>
        <v>0</v>
      </c>
      <c r="S309" s="106">
        <f ca="1">SUMIF($G$307:$G$357,"A",$I$307:$I$357)</f>
        <v>0</v>
      </c>
    </row>
    <row r="310" spans="1:19" ht="13.5" customHeight="1">
      <c r="A310" s="64">
        <f>$A$10</f>
        <v>103</v>
      </c>
      <c r="B310" s="93" t="str">
        <f>IF(B$10="","",B$10)</f>
        <v/>
      </c>
      <c r="C310" s="65" t="str">
        <f>IF($C$10="","",$C$10)</f>
        <v/>
      </c>
      <c r="D310" s="66" t="str">
        <f t="shared" ca="1" si="10"/>
        <v/>
      </c>
      <c r="E310" s="67"/>
      <c r="F310" s="64">
        <f>$F$10</f>
        <v>203</v>
      </c>
      <c r="G310" s="153" t="str">
        <f>IF(G$10="","",G$10)</f>
        <v>A</v>
      </c>
      <c r="H310" s="65" t="str">
        <f>IF($H$10="","",$H$10)</f>
        <v>Löhne</v>
      </c>
      <c r="I310" s="66">
        <f t="shared" ca="1" si="11"/>
        <v>0</v>
      </c>
    </row>
    <row r="311" spans="1:19" ht="13.5" customHeight="1" thickBot="1">
      <c r="A311" s="64">
        <f>$A$11</f>
        <v>104</v>
      </c>
      <c r="B311" s="93" t="str">
        <f>IF(B$11="","",B$11)</f>
        <v/>
      </c>
      <c r="C311" s="65" t="str">
        <f>IF($C$11="","",$C$11)</f>
        <v/>
      </c>
      <c r="D311" s="66" t="str">
        <f t="shared" ca="1" si="10"/>
        <v/>
      </c>
      <c r="E311" s="67"/>
      <c r="F311" s="64">
        <f>$F$11</f>
        <v>204</v>
      </c>
      <c r="G311" s="93" t="str">
        <f>IF(G$11="","",G$11)</f>
        <v/>
      </c>
      <c r="H311" s="65" t="str">
        <f>IF($H$11="","",$H$11)</f>
        <v/>
      </c>
      <c r="I311" s="66" t="str">
        <f t="shared" ca="1" si="11"/>
        <v/>
      </c>
    </row>
    <row r="312" spans="1:19" ht="13.5" customHeight="1">
      <c r="A312" s="64">
        <f>$A$12</f>
        <v>105</v>
      </c>
      <c r="B312" s="93" t="str">
        <f>IF(B$12="","",B$12)</f>
        <v/>
      </c>
      <c r="C312" s="65" t="str">
        <f>IF($C$12="","",$C$12)</f>
        <v/>
      </c>
      <c r="D312" s="66" t="str">
        <f t="shared" ca="1" si="10"/>
        <v/>
      </c>
      <c r="E312" s="67"/>
      <c r="F312" s="64">
        <f>$F$12</f>
        <v>205</v>
      </c>
      <c r="G312" s="93" t="str">
        <f>IF(G$12="","",G$12)</f>
        <v/>
      </c>
      <c r="H312" s="65" t="str">
        <f>IF($H$12="","",$H$12)</f>
        <v/>
      </c>
      <c r="I312" s="66" t="str">
        <f t="shared" ca="1" si="11"/>
        <v/>
      </c>
      <c r="L312" s="96" t="s">
        <v>86</v>
      </c>
      <c r="N312" s="96" t="s">
        <v>95</v>
      </c>
      <c r="Q312" s="96" t="s">
        <v>86</v>
      </c>
      <c r="S312" s="96" t="s">
        <v>95</v>
      </c>
    </row>
    <row r="313" spans="1:19" ht="13.5" customHeight="1">
      <c r="A313" s="64">
        <f>$A$13</f>
        <v>106</v>
      </c>
      <c r="B313" s="93" t="str">
        <f>IF(B$13="","",B$13)</f>
        <v/>
      </c>
      <c r="C313" s="65" t="str">
        <f>IF($C$13="","",$C$13)</f>
        <v/>
      </c>
      <c r="D313" s="66" t="str">
        <f t="shared" ca="1" si="10"/>
        <v/>
      </c>
      <c r="E313" s="67"/>
      <c r="F313" s="64">
        <f>$F$13</f>
        <v>206</v>
      </c>
      <c r="G313" s="93" t="str">
        <f>IF(G$13="","",G$13)</f>
        <v/>
      </c>
      <c r="H313" s="65" t="str">
        <f>IF($H$13="","",$H$13)</f>
        <v/>
      </c>
      <c r="I313" s="66" t="str">
        <f t="shared" ca="1" si="11"/>
        <v/>
      </c>
      <c r="L313" s="112" t="str">
        <f>IF(L$13="","",L$13)</f>
        <v>Privat</v>
      </c>
      <c r="N313" s="112" t="str">
        <f>IF(N$13="","",N$13)</f>
        <v>Privat</v>
      </c>
      <c r="Q313" s="112" t="str">
        <f>IF(Q$13="","",Q$13)</f>
        <v/>
      </c>
      <c r="S313" s="112" t="str">
        <f>IF(S$13="","",S$13)</f>
        <v/>
      </c>
    </row>
    <row r="314" spans="1:19" ht="13.5" customHeight="1" thickBot="1">
      <c r="A314" s="64">
        <f>$A$14</f>
        <v>107</v>
      </c>
      <c r="B314" s="93" t="str">
        <f>IF(B$14="","",B$14)</f>
        <v/>
      </c>
      <c r="C314" s="65" t="str">
        <f>IF($C$14="","",$C$14)</f>
        <v/>
      </c>
      <c r="D314" s="66" t="str">
        <f t="shared" ca="1" si="10"/>
        <v/>
      </c>
      <c r="E314" s="67"/>
      <c r="F314" s="64">
        <f>$F$14</f>
        <v>207</v>
      </c>
      <c r="G314" s="93" t="str">
        <f>IF(G$14="","",G$14)</f>
        <v/>
      </c>
      <c r="H314" s="65" t="str">
        <f>IF($H$14="","",$H$14)</f>
        <v/>
      </c>
      <c r="I314" s="66" t="str">
        <f t="shared" ca="1" si="11"/>
        <v/>
      </c>
      <c r="L314" s="105">
        <f ca="1">SUMIF($B$307:$B$357,"B",$D$307:$D$357)</f>
        <v>0</v>
      </c>
      <c r="M314" s="104">
        <f ca="1">L314+N314</f>
        <v>0</v>
      </c>
      <c r="N314" s="106">
        <f ca="1">SUMIF($G$307:$G$357,"B",$I$307:$I$357)</f>
        <v>0</v>
      </c>
      <c r="Q314" s="105">
        <f ca="1">SUMIF($B$307:$B$357,"B",$D$307:$D$357)</f>
        <v>0</v>
      </c>
      <c r="R314" s="104">
        <f ca="1">Q314+S314</f>
        <v>0</v>
      </c>
      <c r="S314" s="106">
        <f ca="1">SUMIF($G$307:$G$357,"B",$I$307:$I$357)</f>
        <v>0</v>
      </c>
    </row>
    <row r="315" spans="1:19" ht="13.5" customHeight="1">
      <c r="A315" s="64">
        <f>$A$15</f>
        <v>108</v>
      </c>
      <c r="B315" s="93" t="str">
        <f>IF(B$15="","",B$15)</f>
        <v/>
      </c>
      <c r="C315" s="65" t="str">
        <f>IF($C$15="","",$C$15)</f>
        <v/>
      </c>
      <c r="D315" s="66" t="str">
        <f t="shared" ca="1" si="10"/>
        <v/>
      </c>
      <c r="E315" s="67"/>
      <c r="F315" s="64">
        <f>$F$15</f>
        <v>208</v>
      </c>
      <c r="G315" s="93" t="str">
        <f>IF(G$15="","",G$15)</f>
        <v/>
      </c>
      <c r="H315" s="65" t="str">
        <f>IF($H$15="","",$H$15)</f>
        <v/>
      </c>
      <c r="I315" s="66" t="str">
        <f t="shared" ca="1" si="11"/>
        <v/>
      </c>
    </row>
    <row r="316" spans="1:19" ht="13.5" customHeight="1" thickBot="1">
      <c r="A316" s="64">
        <f>$A$16</f>
        <v>109</v>
      </c>
      <c r="B316" s="93" t="str">
        <f>IF(B$16="","",B$16)</f>
        <v/>
      </c>
      <c r="C316" s="65" t="str">
        <f>IF($C$16="","",$C$16)</f>
        <v/>
      </c>
      <c r="D316" s="66" t="str">
        <f t="shared" ca="1" si="10"/>
        <v/>
      </c>
      <c r="E316" s="67"/>
      <c r="F316" s="64">
        <f>$F$16</f>
        <v>209</v>
      </c>
      <c r="G316" s="93" t="str">
        <f>IF(G$16="","",G$16)</f>
        <v/>
      </c>
      <c r="H316" s="65" t="str">
        <f>IF($H$16="","",$H$16)</f>
        <v/>
      </c>
      <c r="I316" s="66" t="str">
        <f t="shared" ca="1" si="11"/>
        <v/>
      </c>
    </row>
    <row r="317" spans="1:19" ht="13.5" customHeight="1">
      <c r="A317" s="64">
        <f>$A$17</f>
        <v>110</v>
      </c>
      <c r="B317" s="93" t="str">
        <f>IF(B$17="","",B$17)</f>
        <v/>
      </c>
      <c r="C317" s="65" t="str">
        <f>IF($C$17="","",$C$17)</f>
        <v/>
      </c>
      <c r="D317" s="66" t="str">
        <f t="shared" ca="1" si="10"/>
        <v/>
      </c>
      <c r="E317" s="67"/>
      <c r="F317" s="64">
        <f>$F$17</f>
        <v>210</v>
      </c>
      <c r="G317" s="93" t="str">
        <f>IF(G$17="","",G$17)</f>
        <v/>
      </c>
      <c r="H317" s="65" t="str">
        <f>IF($H$17="","",$H$17)</f>
        <v/>
      </c>
      <c r="I317" s="66" t="str">
        <f t="shared" ca="1" si="11"/>
        <v/>
      </c>
      <c r="Q317" s="109" t="s">
        <v>87</v>
      </c>
      <c r="S317" s="109" t="s">
        <v>96</v>
      </c>
    </row>
    <row r="318" spans="1:19" ht="13.5" customHeight="1">
      <c r="A318" s="64">
        <f>$A$18</f>
        <v>111</v>
      </c>
      <c r="B318" s="93" t="str">
        <f>IF(B$18="","",B$18)</f>
        <v/>
      </c>
      <c r="C318" s="65" t="str">
        <f>IF($C$18="","",$C$18)</f>
        <v/>
      </c>
      <c r="D318" s="66" t="str">
        <f t="shared" ca="1" si="10"/>
        <v/>
      </c>
      <c r="E318" s="67"/>
      <c r="F318" s="64">
        <f>$F$18</f>
        <v>211</v>
      </c>
      <c r="G318" s="93" t="str">
        <f>IF(G$18="","",G$18)</f>
        <v/>
      </c>
      <c r="H318" s="65" t="str">
        <f>IF($H$18="","",$H$18)</f>
        <v/>
      </c>
      <c r="I318" s="66" t="str">
        <f t="shared" ca="1" si="11"/>
        <v/>
      </c>
      <c r="Q318" s="112" t="str">
        <f>IF(Q$18="","",Q$18)</f>
        <v/>
      </c>
      <c r="S318" s="112" t="str">
        <f>IF(S$18="","",S$18)</f>
        <v/>
      </c>
    </row>
    <row r="319" spans="1:19" ht="13.5" customHeight="1" thickBot="1">
      <c r="A319" s="64">
        <f>$A$19</f>
        <v>112</v>
      </c>
      <c r="B319" s="93" t="str">
        <f>IF(B$19="","",B$19)</f>
        <v/>
      </c>
      <c r="C319" s="65" t="str">
        <f>IF($C$19="","",$C$19)</f>
        <v/>
      </c>
      <c r="D319" s="66" t="str">
        <f t="shared" ca="1" si="10"/>
        <v/>
      </c>
      <c r="E319" s="67"/>
      <c r="F319" s="64">
        <f>$F$19</f>
        <v>212</v>
      </c>
      <c r="G319" s="93" t="str">
        <f>IF(G$19="","",G$19)</f>
        <v/>
      </c>
      <c r="H319" s="65" t="str">
        <f>IF($H$19="","",$H$19)</f>
        <v/>
      </c>
      <c r="I319" s="66" t="str">
        <f t="shared" ca="1" si="11"/>
        <v/>
      </c>
      <c r="Q319" s="105">
        <f>SUMIF($B$307:$B$357,"C",$D$307:$D$357)</f>
        <v>0</v>
      </c>
      <c r="R319" s="104">
        <f>Q319+S319</f>
        <v>0</v>
      </c>
      <c r="S319" s="106">
        <f>SUMIF($G$307:$G$357,"C",$I$307:$I$357)</f>
        <v>0</v>
      </c>
    </row>
    <row r="320" spans="1:19" ht="13.5" customHeight="1">
      <c r="A320" s="64">
        <f>$A$20</f>
        <v>113</v>
      </c>
      <c r="B320" s="93" t="str">
        <f>IF(B$20="","",B$20)</f>
        <v/>
      </c>
      <c r="C320" s="65" t="str">
        <f>IF($C$20="","",$C$20)</f>
        <v/>
      </c>
      <c r="D320" s="66" t="str">
        <f t="shared" ca="1" si="10"/>
        <v/>
      </c>
      <c r="E320" s="67"/>
      <c r="F320" s="64">
        <f>$F$20</f>
        <v>213</v>
      </c>
      <c r="G320" s="93" t="str">
        <f>IF(G$20="","",G$20)</f>
        <v/>
      </c>
      <c r="H320" s="65" t="str">
        <f>IF($H$20="","",$H$20)</f>
        <v/>
      </c>
      <c r="I320" s="66" t="str">
        <f t="shared" ca="1" si="11"/>
        <v/>
      </c>
    </row>
    <row r="321" spans="1:19" ht="13.5" customHeight="1" thickBot="1">
      <c r="A321" s="64">
        <f>$A$21</f>
        <v>114</v>
      </c>
      <c r="B321" s="93" t="str">
        <f>IF(B$21="","",B$21)</f>
        <v/>
      </c>
      <c r="C321" s="65" t="str">
        <f>IF($C$21="","",$C$21)</f>
        <v/>
      </c>
      <c r="D321" s="66" t="str">
        <f t="shared" ca="1" si="10"/>
        <v/>
      </c>
      <c r="E321" s="67"/>
      <c r="F321" s="64">
        <f>$F$21</f>
        <v>214</v>
      </c>
      <c r="G321" s="93" t="str">
        <f>IF(G$21="","",G$21)</f>
        <v/>
      </c>
      <c r="H321" s="65" t="str">
        <f>IF($H$21="","",$H$21)</f>
        <v/>
      </c>
      <c r="I321" s="66" t="str">
        <f t="shared" ca="1" si="11"/>
        <v/>
      </c>
    </row>
    <row r="322" spans="1:19" ht="13.5" customHeight="1">
      <c r="A322" s="64">
        <f>$A$22</f>
        <v>115</v>
      </c>
      <c r="B322" s="93" t="str">
        <f>IF(B$22="","",B$22)</f>
        <v/>
      </c>
      <c r="C322" s="65" t="str">
        <f>IF($C$22="","",$C$22)</f>
        <v/>
      </c>
      <c r="D322" s="66" t="str">
        <f t="shared" ca="1" si="10"/>
        <v/>
      </c>
      <c r="E322" s="67"/>
      <c r="F322" s="64">
        <f>$F$22</f>
        <v>215</v>
      </c>
      <c r="G322" s="93" t="str">
        <f>IF(G$22="","",G$22)</f>
        <v/>
      </c>
      <c r="H322" s="65" t="str">
        <f>IF($H$22="","",$H$22)</f>
        <v/>
      </c>
      <c r="I322" s="66" t="str">
        <f t="shared" ca="1" si="11"/>
        <v/>
      </c>
      <c r="Q322" s="97" t="s">
        <v>88</v>
      </c>
      <c r="S322" s="97" t="s">
        <v>97</v>
      </c>
    </row>
    <row r="323" spans="1:19" ht="13.5" customHeight="1">
      <c r="A323" s="64">
        <f>$A$23</f>
        <v>116</v>
      </c>
      <c r="B323" s="93" t="str">
        <f>IF(B$23="","",B$23)</f>
        <v/>
      </c>
      <c r="C323" s="65" t="str">
        <f>IF($C$23="","",$C$23)</f>
        <v/>
      </c>
      <c r="D323" s="66" t="str">
        <f t="shared" ca="1" si="10"/>
        <v/>
      </c>
      <c r="E323" s="67"/>
      <c r="F323" s="64">
        <f>$F$23</f>
        <v>216</v>
      </c>
      <c r="G323" s="93" t="str">
        <f>IF(G$23="","",G$23)</f>
        <v/>
      </c>
      <c r="H323" s="65" t="str">
        <f>IF($H$23="","",$H$23)</f>
        <v/>
      </c>
      <c r="I323" s="66" t="str">
        <f t="shared" ca="1" si="11"/>
        <v/>
      </c>
      <c r="Q323" s="112" t="str">
        <f>IF(Q$23="","",Q$23)</f>
        <v/>
      </c>
      <c r="S323" s="112" t="str">
        <f>IF(S$23="","",S$23)</f>
        <v/>
      </c>
    </row>
    <row r="324" spans="1:19" ht="13.5" customHeight="1" thickBot="1">
      <c r="A324" s="64">
        <f>$A$24</f>
        <v>117</v>
      </c>
      <c r="B324" s="93" t="str">
        <f>IF(B$24="","",B$24)</f>
        <v/>
      </c>
      <c r="C324" s="65" t="str">
        <f>IF($C$24="","",$C$24)</f>
        <v/>
      </c>
      <c r="D324" s="66" t="str">
        <f t="shared" ca="1" si="10"/>
        <v/>
      </c>
      <c r="E324" s="67"/>
      <c r="F324" s="64">
        <f>$F$24</f>
        <v>217</v>
      </c>
      <c r="G324" s="93" t="str">
        <f>IF(G$24="","",G$24)</f>
        <v/>
      </c>
      <c r="H324" s="65" t="str">
        <f>IF($H$24="","",$H$24)</f>
        <v/>
      </c>
      <c r="I324" s="66" t="str">
        <f t="shared" ca="1" si="11"/>
        <v/>
      </c>
      <c r="Q324" s="105">
        <f>SUMIF($B$307:$B$357,"D",$D$307:$D$357)</f>
        <v>0</v>
      </c>
      <c r="R324" s="104">
        <f>Q324+S324</f>
        <v>0</v>
      </c>
      <c r="S324" s="106">
        <f>SUMIF($G$307:$G$357,"D",$I$307:$I$357)</f>
        <v>0</v>
      </c>
    </row>
    <row r="325" spans="1:19" ht="13.5" customHeight="1">
      <c r="A325" s="64">
        <f>$A$25</f>
        <v>118</v>
      </c>
      <c r="B325" s="93" t="str">
        <f>IF(B$25="","",B$25)</f>
        <v/>
      </c>
      <c r="C325" s="65" t="str">
        <f>IF($C$25="","",$C$25)</f>
        <v/>
      </c>
      <c r="D325" s="66" t="str">
        <f t="shared" ca="1" si="10"/>
        <v/>
      </c>
      <c r="E325" s="67"/>
      <c r="F325" s="64">
        <f>$F$25</f>
        <v>218</v>
      </c>
      <c r="G325" s="93" t="str">
        <f>IF(G$25="","",G$25)</f>
        <v/>
      </c>
      <c r="H325" s="65" t="str">
        <f>IF($H$25="","",$H$25)</f>
        <v/>
      </c>
      <c r="I325" s="66" t="str">
        <f t="shared" ca="1" si="11"/>
        <v/>
      </c>
    </row>
    <row r="326" spans="1:19" ht="13.5" customHeight="1" thickBot="1">
      <c r="A326" s="64">
        <f>$A$26</f>
        <v>119</v>
      </c>
      <c r="B326" s="93" t="str">
        <f>IF(B$26="","",B$26)</f>
        <v/>
      </c>
      <c r="C326" s="65" t="str">
        <f>IF($C$26="","",$C$26)</f>
        <v/>
      </c>
      <c r="D326" s="66" t="str">
        <f t="shared" ca="1" si="10"/>
        <v/>
      </c>
      <c r="E326" s="67"/>
      <c r="F326" s="64">
        <f>$F$26</f>
        <v>219</v>
      </c>
      <c r="G326" s="93" t="str">
        <f>IF(G$26="","",G$26)</f>
        <v/>
      </c>
      <c r="H326" s="65" t="str">
        <f>IF($H$26="","",$H$26)</f>
        <v/>
      </c>
      <c r="I326" s="66" t="str">
        <f t="shared" ca="1" si="11"/>
        <v/>
      </c>
    </row>
    <row r="327" spans="1:19" ht="13.5" customHeight="1">
      <c r="A327" s="64">
        <f>$A$27</f>
        <v>120</v>
      </c>
      <c r="B327" s="93" t="str">
        <f>IF(B$27="","",B$27)</f>
        <v/>
      </c>
      <c r="C327" s="65" t="str">
        <f>IF($C$27="","",$C$27)</f>
        <v/>
      </c>
      <c r="D327" s="66" t="str">
        <f t="shared" ca="1" si="10"/>
        <v/>
      </c>
      <c r="E327" s="67"/>
      <c r="F327" s="64">
        <f>$F$27</f>
        <v>220</v>
      </c>
      <c r="G327" s="93" t="str">
        <f>IF(G$27="","",G$27)</f>
        <v/>
      </c>
      <c r="H327" s="65" t="str">
        <f>IF($H$27="","",$H$27)</f>
        <v/>
      </c>
      <c r="I327" s="66" t="str">
        <f t="shared" ca="1" si="11"/>
        <v/>
      </c>
      <c r="Q327" s="110" t="s">
        <v>89</v>
      </c>
      <c r="S327" s="110" t="s">
        <v>98</v>
      </c>
    </row>
    <row r="328" spans="1:19" ht="13.5" customHeight="1">
      <c r="A328" s="64">
        <f>$A$28</f>
        <v>121</v>
      </c>
      <c r="B328" s="93" t="str">
        <f>IF(B$28="","",B$28)</f>
        <v/>
      </c>
      <c r="C328" s="65" t="str">
        <f>IF($C$28="","",$C$28)</f>
        <v/>
      </c>
      <c r="D328" s="66" t="str">
        <f t="shared" ca="1" si="10"/>
        <v/>
      </c>
      <c r="E328" s="67"/>
      <c r="F328" s="64">
        <f>$F$28</f>
        <v>221</v>
      </c>
      <c r="G328" s="93" t="str">
        <f>IF(G$28="","",G$28)</f>
        <v/>
      </c>
      <c r="H328" s="65" t="str">
        <f>IF($H$28="","",$H$28)</f>
        <v/>
      </c>
      <c r="I328" s="66" t="str">
        <f t="shared" ca="1" si="11"/>
        <v/>
      </c>
      <c r="Q328" s="112" t="str">
        <f>IF(Q$28="","",Q$28)</f>
        <v/>
      </c>
      <c r="S328" s="112" t="str">
        <f>IF(S$28="","",S$28)</f>
        <v/>
      </c>
    </row>
    <row r="329" spans="1:19" ht="13.5" customHeight="1" thickBot="1">
      <c r="A329" s="64">
        <f>$A$29</f>
        <v>122</v>
      </c>
      <c r="B329" s="93" t="str">
        <f>IF(B$29="","",B$29)</f>
        <v/>
      </c>
      <c r="C329" s="65" t="str">
        <f>IF($C$29="","",$C$29)</f>
        <v/>
      </c>
      <c r="D329" s="66" t="str">
        <f t="shared" ca="1" si="10"/>
        <v/>
      </c>
      <c r="E329" s="67"/>
      <c r="F329" s="64">
        <f>$F$29</f>
        <v>222</v>
      </c>
      <c r="G329" s="93" t="str">
        <f>IF(G$29="","",G$29)</f>
        <v/>
      </c>
      <c r="H329" s="65" t="str">
        <f>IF($H$29="","",$H$29)</f>
        <v/>
      </c>
      <c r="I329" s="66" t="str">
        <f t="shared" ca="1" si="11"/>
        <v/>
      </c>
      <c r="Q329" s="105">
        <f>SUMIF($B$307:$B$357,"E",$D$307:$D$357)</f>
        <v>0</v>
      </c>
      <c r="R329" s="104">
        <f>Q329+S329</f>
        <v>0</v>
      </c>
      <c r="S329" s="106">
        <f>SUMIF($G$307:$G$357,"E",$I$307:$I$357)</f>
        <v>0</v>
      </c>
    </row>
    <row r="330" spans="1:19" ht="13.5" customHeight="1">
      <c r="A330" s="64">
        <f>$A$30</f>
        <v>123</v>
      </c>
      <c r="B330" s="93" t="str">
        <f>IF(B$30="","",B$30)</f>
        <v/>
      </c>
      <c r="C330" s="65" t="str">
        <f>IF($C$30="","",$C$30)</f>
        <v/>
      </c>
      <c r="D330" s="66" t="str">
        <f t="shared" ca="1" si="10"/>
        <v/>
      </c>
      <c r="E330" s="67"/>
      <c r="F330" s="64">
        <f>$F$30</f>
        <v>223</v>
      </c>
      <c r="G330" s="93" t="str">
        <f>IF(G$30="","",G$30)</f>
        <v/>
      </c>
      <c r="H330" s="65" t="str">
        <f>IF($H$30="","",$H$30)</f>
        <v/>
      </c>
      <c r="I330" s="66" t="str">
        <f t="shared" ca="1" si="11"/>
        <v/>
      </c>
    </row>
    <row r="331" spans="1:19" ht="13.5" customHeight="1" thickBot="1">
      <c r="A331" s="64">
        <f>$A$31</f>
        <v>124</v>
      </c>
      <c r="B331" s="93" t="str">
        <f>IF(B$31="","",B$31)</f>
        <v/>
      </c>
      <c r="C331" s="65" t="str">
        <f>IF($C$31="","",$C$31)</f>
        <v/>
      </c>
      <c r="D331" s="66" t="str">
        <f t="shared" ca="1" si="10"/>
        <v/>
      </c>
      <c r="E331" s="67"/>
      <c r="F331" s="64">
        <f>$F$31</f>
        <v>224</v>
      </c>
      <c r="G331" s="93" t="str">
        <f>IF(G$31="","",G$31)</f>
        <v/>
      </c>
      <c r="H331" s="65" t="str">
        <f>IF($H$31="","",$H$31)</f>
        <v/>
      </c>
      <c r="I331" s="66" t="str">
        <f t="shared" ca="1" si="11"/>
        <v/>
      </c>
    </row>
    <row r="332" spans="1:19" ht="13.5" customHeight="1">
      <c r="A332" s="64">
        <f>$A$32</f>
        <v>125</v>
      </c>
      <c r="B332" s="154" t="str">
        <f>IF(B$32="","",B$32)</f>
        <v>B</v>
      </c>
      <c r="C332" s="65" t="str">
        <f>IF($C$32="","",$C$32)</f>
        <v>Lohn Nebenerwerb</v>
      </c>
      <c r="D332" s="66">
        <f t="shared" ca="1" si="10"/>
        <v>0</v>
      </c>
      <c r="E332" s="67"/>
      <c r="F332" s="64">
        <f>$F$32</f>
        <v>225</v>
      </c>
      <c r="G332" s="154" t="str">
        <f>IF(G$32="","",G$32)</f>
        <v>B</v>
      </c>
      <c r="H332" s="65" t="str">
        <f>IF($H$32="","",$H$32)</f>
        <v>Nahrung, Kleider, Körperpflege</v>
      </c>
      <c r="I332" s="66">
        <f t="shared" ca="1" si="11"/>
        <v>0</v>
      </c>
      <c r="Q332" s="98" t="s">
        <v>90</v>
      </c>
      <c r="S332" s="98" t="s">
        <v>99</v>
      </c>
    </row>
    <row r="333" spans="1:19" ht="13.5" customHeight="1">
      <c r="A333" s="64">
        <f>$A$33</f>
        <v>126</v>
      </c>
      <c r="B333" s="93" t="str">
        <f>IF(B$33="","",B$33)</f>
        <v/>
      </c>
      <c r="C333" s="65" t="str">
        <f>IF($C$33="","",$C$33)</f>
        <v/>
      </c>
      <c r="D333" s="66" t="str">
        <f t="shared" ca="1" si="10"/>
        <v/>
      </c>
      <c r="E333" s="67"/>
      <c r="F333" s="64">
        <f>$F$33</f>
        <v>226</v>
      </c>
      <c r="G333" s="154" t="str">
        <f>IF(G$33="","",G$33)</f>
        <v>B</v>
      </c>
      <c r="H333" s="65" t="str">
        <f>IF($H$33="","",$H$33)</f>
        <v>Autokosten</v>
      </c>
      <c r="I333" s="66">
        <f t="shared" ca="1" si="11"/>
        <v>0</v>
      </c>
      <c r="Q333" s="112" t="str">
        <f>IF(Q$33="","",Q$33)</f>
        <v/>
      </c>
      <c r="S333" s="112" t="str">
        <f>IF(S$33="","",S$33)</f>
        <v/>
      </c>
    </row>
    <row r="334" spans="1:19" ht="13.5" customHeight="1" thickBot="1">
      <c r="A334" s="64">
        <f>$A$34</f>
        <v>127</v>
      </c>
      <c r="B334" s="93" t="str">
        <f>IF(B$34="","",B$34)</f>
        <v/>
      </c>
      <c r="C334" s="65" t="str">
        <f>IF($C$34="","",$C$34)</f>
        <v/>
      </c>
      <c r="D334" s="66" t="str">
        <f t="shared" ca="1" si="10"/>
        <v/>
      </c>
      <c r="E334" s="67"/>
      <c r="F334" s="64">
        <f>$F$34</f>
        <v>227</v>
      </c>
      <c r="G334" s="154" t="str">
        <f>IF(G$34="","",G$34)</f>
        <v>B</v>
      </c>
      <c r="H334" s="65" t="str">
        <f>IF($H$34="","",$H$34)</f>
        <v>Gesundheit, Krankenkasse, Zahnarzt</v>
      </c>
      <c r="I334" s="66">
        <f t="shared" ca="1" si="11"/>
        <v>0</v>
      </c>
      <c r="Q334" s="105">
        <f>SUMIF($B$307:$B$357,"F",$D$307:$D$357)</f>
        <v>0</v>
      </c>
      <c r="R334" s="104">
        <f>Q334+S334</f>
        <v>0</v>
      </c>
      <c r="S334" s="106">
        <f>SUMIF($G$307:$G$357,"F",$I$307:$I$357)</f>
        <v>0</v>
      </c>
    </row>
    <row r="335" spans="1:19" ht="13.5" customHeight="1">
      <c r="A335" s="64">
        <f>$A$35</f>
        <v>128</v>
      </c>
      <c r="B335" s="93" t="str">
        <f>IF(B$35="","",B$35)</f>
        <v/>
      </c>
      <c r="C335" s="65" t="str">
        <f>IF($C$35="","",$C$35)</f>
        <v/>
      </c>
      <c r="D335" s="66" t="str">
        <f t="shared" ca="1" si="10"/>
        <v/>
      </c>
      <c r="E335" s="67"/>
      <c r="F335" s="64">
        <f>$F$35</f>
        <v>228</v>
      </c>
      <c r="G335" s="154" t="str">
        <f>IF(G$35="","",G$35)</f>
        <v>B</v>
      </c>
      <c r="H335" s="65" t="str">
        <f>IF($H$35="","",$H$35)</f>
        <v>Versicherungen allgemein</v>
      </c>
      <c r="I335" s="66">
        <f t="shared" ca="1" si="11"/>
        <v>0</v>
      </c>
    </row>
    <row r="336" spans="1:19" ht="13.5" customHeight="1" thickBot="1">
      <c r="A336" s="64">
        <f>$A$36</f>
        <v>129</v>
      </c>
      <c r="B336" s="93" t="str">
        <f>IF(B$36="","",B$36)</f>
        <v/>
      </c>
      <c r="C336" s="65" t="str">
        <f>IF($C$36="","",$C$36)</f>
        <v/>
      </c>
      <c r="D336" s="66" t="str">
        <f t="shared" ca="1" si="10"/>
        <v/>
      </c>
      <c r="E336" s="67"/>
      <c r="F336" s="64">
        <f>$F$36</f>
        <v>229</v>
      </c>
      <c r="G336" s="154" t="str">
        <f>IF(G$36="","",G$36)</f>
        <v>B</v>
      </c>
      <c r="H336" s="65" t="str">
        <f>IF($H$36="","",$H$36)</f>
        <v>Büro, Computer, Fotos</v>
      </c>
      <c r="I336" s="66">
        <f t="shared" ca="1" si="11"/>
        <v>0</v>
      </c>
    </row>
    <row r="337" spans="1:19" ht="13.5" customHeight="1">
      <c r="A337" s="64">
        <f>$A$37</f>
        <v>130</v>
      </c>
      <c r="B337" s="93" t="str">
        <f>IF(B$37="","",B$37)</f>
        <v/>
      </c>
      <c r="C337" s="65" t="str">
        <f>IF($C$37="","",$C$37)</f>
        <v/>
      </c>
      <c r="D337" s="66" t="str">
        <f t="shared" ca="1" si="10"/>
        <v/>
      </c>
      <c r="E337" s="67"/>
      <c r="F337" s="64">
        <f>$F$37</f>
        <v>230</v>
      </c>
      <c r="G337" s="154" t="str">
        <f>IF(G$37="","",G$37)</f>
        <v>B</v>
      </c>
      <c r="H337" s="65" t="str">
        <f>IF($H$37="","",$H$37)</f>
        <v>Ferien, Ausflüge</v>
      </c>
      <c r="I337" s="66">
        <f t="shared" ca="1" si="11"/>
        <v>0</v>
      </c>
      <c r="Q337" s="99" t="s">
        <v>91</v>
      </c>
      <c r="S337" s="99" t="s">
        <v>100</v>
      </c>
    </row>
    <row r="338" spans="1:19" ht="13.5" customHeight="1">
      <c r="A338" s="64">
        <f>$A$38</f>
        <v>131</v>
      </c>
      <c r="B338" s="93" t="str">
        <f>IF(B$38="","",B$38)</f>
        <v/>
      </c>
      <c r="C338" s="65" t="str">
        <f>IF($C$38="","",$C$38)</f>
        <v/>
      </c>
      <c r="D338" s="66" t="str">
        <f t="shared" ca="1" si="10"/>
        <v/>
      </c>
      <c r="E338" s="67"/>
      <c r="F338" s="64">
        <f>$F$38</f>
        <v>231</v>
      </c>
      <c r="G338" s="154" t="str">
        <f>IF(G$38="","",G$38)</f>
        <v>B</v>
      </c>
      <c r="H338" s="65" t="str">
        <f>IF($H$38="","",$H$38)</f>
        <v>Freizeit, Vergnügen, Unterhaltung</v>
      </c>
      <c r="I338" s="66">
        <f t="shared" ca="1" si="11"/>
        <v>0</v>
      </c>
      <c r="Q338" s="112" t="str">
        <f>IF(Q$38="","",Q$38)</f>
        <v/>
      </c>
      <c r="S338" s="112" t="str">
        <f>IF(S$38="","",S$38)</f>
        <v/>
      </c>
    </row>
    <row r="339" spans="1:19" ht="13.5" customHeight="1" thickBot="1">
      <c r="A339" s="64">
        <f>$A$39</f>
        <v>132</v>
      </c>
      <c r="B339" s="154" t="str">
        <f>IF(B$39="","",B$39)</f>
        <v>B</v>
      </c>
      <c r="C339" s="65" t="str">
        <f>IF($C$39="","",$C$39)</f>
        <v>Feuerwehrsold</v>
      </c>
      <c r="D339" s="66">
        <f t="shared" ca="1" si="10"/>
        <v>0</v>
      </c>
      <c r="E339" s="67"/>
      <c r="F339" s="64">
        <f>$F$39</f>
        <v>232</v>
      </c>
      <c r="G339" s="154" t="str">
        <f>IF(G$39="","",G$39)</f>
        <v>B</v>
      </c>
      <c r="H339" s="65" t="str">
        <f>IF($H$39="","",$H$39)</f>
        <v>Telefon</v>
      </c>
      <c r="I339" s="66">
        <f t="shared" ca="1" si="11"/>
        <v>0</v>
      </c>
      <c r="Q339" s="105">
        <f>SUMIF($B$307:$B$357,"G",$D$307:$D$357)</f>
        <v>0</v>
      </c>
      <c r="R339" s="104">
        <f>Q339+S339</f>
        <v>0</v>
      </c>
      <c r="S339" s="106">
        <f>SUMIF($G$307:$G$357,"G",$I$307:$I$357)</f>
        <v>0</v>
      </c>
    </row>
    <row r="340" spans="1:19" ht="13.5" customHeight="1">
      <c r="A340" s="64">
        <f>$A$40</f>
        <v>133</v>
      </c>
      <c r="B340" s="93" t="str">
        <f>IF(B$40="","",B$40)</f>
        <v/>
      </c>
      <c r="C340" s="65" t="str">
        <f>IF($C$40="","",$C$40)</f>
        <v/>
      </c>
      <c r="D340" s="66" t="str">
        <f t="shared" ca="1" si="10"/>
        <v/>
      </c>
      <c r="E340" s="67"/>
      <c r="F340" s="64">
        <f>$F$40</f>
        <v>233</v>
      </c>
      <c r="G340" s="154" t="str">
        <f>IF(G$40="","",G$40)</f>
        <v>B</v>
      </c>
      <c r="H340" s="65" t="str">
        <f>IF($H$40="","",$H$40)</f>
        <v>Öffentlicher Verkehr und Velo</v>
      </c>
      <c r="I340" s="66">
        <f t="shared" ca="1" si="11"/>
        <v>0</v>
      </c>
    </row>
    <row r="341" spans="1:19" ht="13.5" customHeight="1" thickBot="1">
      <c r="A341" s="64">
        <f>$A$41</f>
        <v>134</v>
      </c>
      <c r="B341" s="93" t="str">
        <f>IF(B$41="","",B$41)</f>
        <v/>
      </c>
      <c r="C341" s="65" t="str">
        <f>IF($C$41="","",$C$41)</f>
        <v/>
      </c>
      <c r="D341" s="66" t="str">
        <f t="shared" ca="1" si="10"/>
        <v/>
      </c>
      <c r="E341" s="67"/>
      <c r="F341" s="64">
        <f>$F$41</f>
        <v>234</v>
      </c>
      <c r="G341" s="154" t="str">
        <f>IF(G$41="","",G$41)</f>
        <v>B</v>
      </c>
      <c r="H341" s="65" t="str">
        <f>IF($H$41="","",$H$41)</f>
        <v>Möbel, Wohnungseinrichtung</v>
      </c>
      <c r="I341" s="66">
        <f t="shared" ca="1" si="11"/>
        <v>0</v>
      </c>
    </row>
    <row r="342" spans="1:19" ht="13.5" customHeight="1">
      <c r="A342" s="64">
        <f>$A$42</f>
        <v>135</v>
      </c>
      <c r="B342" s="93" t="str">
        <f>IF(B$42="","",B$42)</f>
        <v/>
      </c>
      <c r="C342" s="65" t="str">
        <f>IF($C$42="","",$C$42)</f>
        <v/>
      </c>
      <c r="D342" s="66" t="str">
        <f t="shared" ca="1" si="10"/>
        <v/>
      </c>
      <c r="E342" s="67"/>
      <c r="F342" s="64">
        <f>$F$42</f>
        <v>235</v>
      </c>
      <c r="G342" s="154" t="str">
        <f>IF(G$42="","",G$42)</f>
        <v>B</v>
      </c>
      <c r="H342" s="65" t="str">
        <f>IF($H$42="","",$H$42)</f>
        <v>Kosten IT Consulting / Webdesign</v>
      </c>
      <c r="I342" s="66">
        <f t="shared" ca="1" si="11"/>
        <v>0</v>
      </c>
      <c r="Q342" s="100" t="s">
        <v>92</v>
      </c>
      <c r="S342" s="100" t="s">
        <v>101</v>
      </c>
    </row>
    <row r="343" spans="1:19" ht="13.5" customHeight="1">
      <c r="A343" s="64">
        <f>$A$43</f>
        <v>136</v>
      </c>
      <c r="B343" s="93" t="str">
        <f>IF(B$43="","",B$43)</f>
        <v/>
      </c>
      <c r="C343" s="65" t="str">
        <f>IF($C$43="","",$C$43)</f>
        <v/>
      </c>
      <c r="D343" s="66" t="str">
        <f t="shared" ca="1" si="10"/>
        <v/>
      </c>
      <c r="E343" s="67"/>
      <c r="F343" s="64">
        <f>$F$43</f>
        <v>236</v>
      </c>
      <c r="G343" s="154" t="str">
        <f>IF(G$43="","",G$43)</f>
        <v>B</v>
      </c>
      <c r="H343" s="65" t="str">
        <f>IF($H$43="","",$H$43)</f>
        <v>Schule und Bildung Kinder</v>
      </c>
      <c r="I343" s="66">
        <f t="shared" ca="1" si="11"/>
        <v>0</v>
      </c>
      <c r="Q343" s="112" t="str">
        <f>IF(Q$43="","",Q$43)</f>
        <v/>
      </c>
      <c r="S343" s="112" t="str">
        <f>IF(S$43="","",S$43)</f>
        <v/>
      </c>
    </row>
    <row r="344" spans="1:19" ht="13.5" customHeight="1" thickBot="1">
      <c r="A344" s="64">
        <f>$A$44</f>
        <v>137</v>
      </c>
      <c r="B344" s="93" t="str">
        <f>IF(B$44="","",B$44)</f>
        <v/>
      </c>
      <c r="C344" s="65" t="str">
        <f>IF($C$44="","",$C$44)</f>
        <v/>
      </c>
      <c r="D344" s="66" t="str">
        <f t="shared" ca="1" si="10"/>
        <v/>
      </c>
      <c r="E344" s="67"/>
      <c r="F344" s="64">
        <f>$F$44</f>
        <v>237</v>
      </c>
      <c r="G344" s="154" t="str">
        <f>IF(G$44="","",G$44)</f>
        <v>B</v>
      </c>
      <c r="H344" s="65" t="str">
        <f>IF($H$44="","",$H$44)</f>
        <v>Org. Freizeitaktivitäten der Kinder</v>
      </c>
      <c r="I344" s="66">
        <f t="shared" ca="1" si="11"/>
        <v>0</v>
      </c>
      <c r="Q344" s="105">
        <f>SUMIF($B$307:$B$357,"H",$D$307:$D$357)</f>
        <v>0</v>
      </c>
      <c r="R344" s="104">
        <f>Q344+S344</f>
        <v>0</v>
      </c>
      <c r="S344" s="106">
        <f>SUMIF($G$307:$G$357,"H",$I$307:$I$357)</f>
        <v>0</v>
      </c>
    </row>
    <row r="345" spans="1:19" ht="13.5" customHeight="1">
      <c r="A345" s="64">
        <f>$A$45</f>
        <v>138</v>
      </c>
      <c r="B345" s="93" t="str">
        <f>IF(B$45="","",B$45)</f>
        <v/>
      </c>
      <c r="C345" s="65" t="str">
        <f>IF($C$45="","",$C$45)</f>
        <v/>
      </c>
      <c r="D345" s="66" t="str">
        <f t="shared" ca="1" si="10"/>
        <v/>
      </c>
      <c r="E345" s="67"/>
      <c r="F345" s="64">
        <f>$F$45</f>
        <v>238</v>
      </c>
      <c r="G345" s="93" t="str">
        <f>IF(G$45="","",G$45)</f>
        <v/>
      </c>
      <c r="H345" s="65" t="str">
        <f>IF($H$45="","",$H$45)</f>
        <v/>
      </c>
      <c r="I345" s="66" t="str">
        <f t="shared" ca="1" si="11"/>
        <v/>
      </c>
    </row>
    <row r="346" spans="1:19" ht="13.5" customHeight="1" thickBot="1">
      <c r="A346" s="64">
        <f>$A$46</f>
        <v>139</v>
      </c>
      <c r="B346" s="93" t="str">
        <f>IF(B$46="","",B$46)</f>
        <v/>
      </c>
      <c r="C346" s="65" t="str">
        <f>IF($C$46="","",$C$46)</f>
        <v/>
      </c>
      <c r="D346" s="66" t="str">
        <f t="shared" ca="1" si="10"/>
        <v/>
      </c>
      <c r="E346" s="67"/>
      <c r="F346" s="64">
        <f>$F$46</f>
        <v>239</v>
      </c>
      <c r="G346" s="154" t="str">
        <f>IF(G$46="","",G$46)</f>
        <v>B</v>
      </c>
      <c r="H346" s="65" t="str">
        <f>IF($H$46="","",$H$46)</f>
        <v>Wohltätige Spenden</v>
      </c>
      <c r="I346" s="66">
        <f t="shared" ca="1" si="11"/>
        <v>0</v>
      </c>
    </row>
    <row r="347" spans="1:19" ht="13.5" customHeight="1">
      <c r="A347" s="64">
        <f>$A$47</f>
        <v>140</v>
      </c>
      <c r="B347" s="93" t="str">
        <f>IF(B$47="","",B$47)</f>
        <v/>
      </c>
      <c r="C347" s="65" t="str">
        <f>IF($C$47="","",$C$47)</f>
        <v/>
      </c>
      <c r="D347" s="66" t="str">
        <f t="shared" ca="1" si="10"/>
        <v/>
      </c>
      <c r="E347" s="67"/>
      <c r="F347" s="64">
        <f>$F$47</f>
        <v>240</v>
      </c>
      <c r="G347" s="154" t="str">
        <f>IF(G$47="","",G$47)</f>
        <v>B</v>
      </c>
      <c r="H347" s="65" t="str">
        <f>IF($H$47="","",$H$47)</f>
        <v>Vorsorgesparen 3a / PK Einkauf</v>
      </c>
      <c r="I347" s="66">
        <f t="shared" ca="1" si="11"/>
        <v>0</v>
      </c>
      <c r="Q347" s="101" t="s">
        <v>93</v>
      </c>
      <c r="S347" s="101" t="s">
        <v>102</v>
      </c>
    </row>
    <row r="348" spans="1:19" ht="13.5" customHeight="1">
      <c r="A348" s="64">
        <f>$A$48</f>
        <v>141</v>
      </c>
      <c r="B348" s="93" t="str">
        <f>IF(B$48="","",B$48)</f>
        <v/>
      </c>
      <c r="C348" s="65" t="str">
        <f>IF($C$48="","",$C$48)</f>
        <v/>
      </c>
      <c r="D348" s="66" t="str">
        <f t="shared" ca="1" si="10"/>
        <v/>
      </c>
      <c r="E348" s="67"/>
      <c r="F348" s="64">
        <f>$F$48</f>
        <v>241</v>
      </c>
      <c r="G348" s="93" t="str">
        <f>IF(G$48="","",G$48)</f>
        <v/>
      </c>
      <c r="H348" s="65" t="str">
        <f>IF($H$48="","",$H$48)</f>
        <v/>
      </c>
      <c r="I348" s="66" t="str">
        <f t="shared" ca="1" si="11"/>
        <v/>
      </c>
      <c r="Q348" s="112" t="str">
        <f>IF(Q$48="","",Q$48)</f>
        <v/>
      </c>
      <c r="S348" s="112" t="str">
        <f>IF(S$48="","",S$48)</f>
        <v/>
      </c>
    </row>
    <row r="349" spans="1:19" ht="13.5" customHeight="1" thickBot="1">
      <c r="A349" s="64">
        <f>$A$49</f>
        <v>142</v>
      </c>
      <c r="B349" s="93" t="str">
        <f>IF(B$49="","",B$49)</f>
        <v/>
      </c>
      <c r="C349" s="65" t="str">
        <f>IF($C$49="","",$C$49)</f>
        <v/>
      </c>
      <c r="D349" s="66" t="str">
        <f t="shared" ca="1" si="10"/>
        <v/>
      </c>
      <c r="E349" s="67"/>
      <c r="F349" s="64">
        <f>$F$49</f>
        <v>242</v>
      </c>
      <c r="G349" s="93" t="str">
        <f>IF(G$49="","",G$49)</f>
        <v/>
      </c>
      <c r="H349" s="65" t="str">
        <f>IF($H$49="","",$H$49)</f>
        <v/>
      </c>
      <c r="I349" s="66" t="str">
        <f t="shared" ca="1" si="11"/>
        <v/>
      </c>
      <c r="Q349" s="105">
        <f>SUMIF($B$307:$B$357,"I",$D$307:$D$357)</f>
        <v>0</v>
      </c>
      <c r="R349" s="104">
        <f>Q349+S349</f>
        <v>0</v>
      </c>
      <c r="S349" s="106">
        <f>SUMIF($G$307:$G$357,"I",$I$307:$I$357)</f>
        <v>0</v>
      </c>
    </row>
    <row r="350" spans="1:19" ht="13.5" customHeight="1">
      <c r="A350" s="64">
        <f>$A$50</f>
        <v>143</v>
      </c>
      <c r="B350" s="93" t="str">
        <f>IF(B$50="","",B$50)</f>
        <v/>
      </c>
      <c r="C350" s="65" t="str">
        <f>IF($C$50="","",$C$50)</f>
        <v/>
      </c>
      <c r="D350" s="66" t="str">
        <f t="shared" ca="1" si="10"/>
        <v/>
      </c>
      <c r="E350" s="67"/>
      <c r="F350" s="64">
        <f>$F$50</f>
        <v>243</v>
      </c>
      <c r="G350" s="154" t="str">
        <f>IF(G$50="","",G$50)</f>
        <v>B</v>
      </c>
      <c r="H350" s="65" t="str">
        <f>IF($H$50="","",$H$50)</f>
        <v>Wasser</v>
      </c>
      <c r="I350" s="66">
        <f t="shared" ca="1" si="11"/>
        <v>0</v>
      </c>
    </row>
    <row r="351" spans="1:19" ht="13.5" customHeight="1" thickBot="1">
      <c r="A351" s="64">
        <f>$A$51</f>
        <v>144</v>
      </c>
      <c r="B351" s="93" t="str">
        <f>IF(B$51="","",B$51)</f>
        <v/>
      </c>
      <c r="C351" s="65" t="str">
        <f>IF($C$51="","",$C$51)</f>
        <v/>
      </c>
      <c r="D351" s="66" t="str">
        <f t="shared" ca="1" si="10"/>
        <v/>
      </c>
      <c r="E351" s="67"/>
      <c r="F351" s="64">
        <f>$F$51</f>
        <v>244</v>
      </c>
      <c r="G351" s="154" t="str">
        <f>IF(G$51="","",G$51)</f>
        <v>B</v>
      </c>
      <c r="H351" s="65" t="str">
        <f>IF($H$51="","",$H$51)</f>
        <v>Strom</v>
      </c>
      <c r="I351" s="66">
        <f t="shared" ca="1" si="11"/>
        <v>0</v>
      </c>
    </row>
    <row r="352" spans="1:19" ht="13.5" customHeight="1">
      <c r="A352" s="64">
        <f>$A$52</f>
        <v>145</v>
      </c>
      <c r="B352" s="93" t="str">
        <f>IF(B$52="","",B$52)</f>
        <v/>
      </c>
      <c r="C352" s="65" t="str">
        <f>IF($C$52="","",$C$52)</f>
        <v/>
      </c>
      <c r="D352" s="66" t="str">
        <f t="shared" ca="1" si="10"/>
        <v/>
      </c>
      <c r="E352" s="67"/>
      <c r="F352" s="64">
        <f>$F$52</f>
        <v>245</v>
      </c>
      <c r="G352" s="154" t="str">
        <f>IF(G$52="","",G$52)</f>
        <v>B</v>
      </c>
      <c r="H352" s="65" t="str">
        <f>IF($H$52="","",$H$52)</f>
        <v>Geschenke</v>
      </c>
      <c r="I352" s="66">
        <f t="shared" ca="1" si="11"/>
        <v>0</v>
      </c>
      <c r="Q352" s="102" t="s">
        <v>94</v>
      </c>
      <c r="S352" s="102" t="s">
        <v>103</v>
      </c>
    </row>
    <row r="353" spans="1:19" ht="13.5" customHeight="1">
      <c r="A353" s="64">
        <f>$A$53</f>
        <v>146</v>
      </c>
      <c r="B353" s="93" t="str">
        <f>IF(B$53="","",B$53)</f>
        <v/>
      </c>
      <c r="C353" s="65" t="str">
        <f>IF($C$53="","",$C$53)</f>
        <v/>
      </c>
      <c r="D353" s="66" t="str">
        <f t="shared" ca="1" si="10"/>
        <v/>
      </c>
      <c r="E353" s="67"/>
      <c r="F353" s="64">
        <f>$F$53</f>
        <v>246</v>
      </c>
      <c r="G353" s="154" t="str">
        <f>IF(G$53="","",G$53)</f>
        <v>B</v>
      </c>
      <c r="H353" s="65" t="str">
        <f>IF($H$53="","",$H$53)</f>
        <v>Erwachsenenbildung</v>
      </c>
      <c r="I353" s="66">
        <f t="shared" ca="1" si="11"/>
        <v>0</v>
      </c>
      <c r="Q353" s="112" t="str">
        <f>IF(Q$53="","",Q$53)</f>
        <v/>
      </c>
      <c r="S353" s="112" t="str">
        <f>IF(S$53="","",S$53)</f>
        <v/>
      </c>
    </row>
    <row r="354" spans="1:19" ht="13.5" customHeight="1" thickBot="1">
      <c r="A354" s="64">
        <f>$A$54</f>
        <v>147</v>
      </c>
      <c r="B354" s="154" t="str">
        <f>IF(B$54="","",B$54)</f>
        <v>B</v>
      </c>
      <c r="C354" s="65" t="str">
        <f>IF($C$54="","",$C$54)</f>
        <v>Diverse Privateinnahmen</v>
      </c>
      <c r="D354" s="66">
        <f t="shared" ca="1" si="10"/>
        <v>0</v>
      </c>
      <c r="E354" s="67"/>
      <c r="F354" s="64">
        <f>$F$54</f>
        <v>247</v>
      </c>
      <c r="G354" s="154" t="str">
        <f>IF(G$54="","",G$54)</f>
        <v>B</v>
      </c>
      <c r="H354" s="65" t="str">
        <f>IF($H$54="","",$H$54)</f>
        <v>Diverse Privatausgaben</v>
      </c>
      <c r="I354" s="66">
        <f t="shared" ca="1" si="11"/>
        <v>0</v>
      </c>
      <c r="Q354" s="105">
        <f>SUMIF($B$307:$B$357,"K",$D$307:$D$357)</f>
        <v>0</v>
      </c>
      <c r="R354" s="104">
        <f>Q354+S354</f>
        <v>0</v>
      </c>
      <c r="S354" s="106">
        <f>SUMIF($G$307:$G$357,"K",$I$307:$I$357)</f>
        <v>0</v>
      </c>
    </row>
    <row r="355" spans="1:19" ht="13.5" customHeight="1">
      <c r="A355" s="64">
        <f>$A$55</f>
        <v>148</v>
      </c>
      <c r="B355" s="93" t="str">
        <f>IF(B$55="","",B$55)</f>
        <v/>
      </c>
      <c r="C355" s="65" t="str">
        <f>IF($C$55="","",$C$55)</f>
        <v/>
      </c>
      <c r="D355" s="66" t="str">
        <f t="shared" ca="1" si="10"/>
        <v/>
      </c>
      <c r="E355" s="67"/>
      <c r="F355" s="64">
        <f>$F$55</f>
        <v>248</v>
      </c>
      <c r="G355" s="154" t="str">
        <f>IF(G$55="","",G$55)</f>
        <v>B</v>
      </c>
      <c r="H355" s="65" t="str">
        <f>IF($H$55="","",$H$55)</f>
        <v>Private Vereinsbeiträge</v>
      </c>
      <c r="I355" s="66">
        <f t="shared" ca="1" si="11"/>
        <v>0</v>
      </c>
    </row>
    <row r="356" spans="1:19" ht="13.5" customHeight="1" thickBot="1">
      <c r="A356" s="64">
        <f>$A$56</f>
        <v>149</v>
      </c>
      <c r="B356" s="93" t="str">
        <f>IF(B$56="","",B$56)</f>
        <v/>
      </c>
      <c r="C356" s="65" t="str">
        <f>IF($C$56="","",$C$56)</f>
        <v/>
      </c>
      <c r="D356" s="66" t="str">
        <f t="shared" ca="1" si="10"/>
        <v/>
      </c>
      <c r="E356" s="67"/>
      <c r="F356" s="64">
        <f>$F$56</f>
        <v>249</v>
      </c>
      <c r="G356" s="154" t="str">
        <f>IF(G$56="","",G$56)</f>
        <v>B</v>
      </c>
      <c r="H356" s="65" t="str">
        <f>IF($H$56="","",$H$56)</f>
        <v>Spesen Vermögensverwaltung</v>
      </c>
      <c r="I356" s="66">
        <f t="shared" ca="1" si="11"/>
        <v>0</v>
      </c>
    </row>
    <row r="357" spans="1:19" ht="13.5" customHeight="1" thickBot="1">
      <c r="A357" s="64">
        <f>$A$57</f>
        <v>150</v>
      </c>
      <c r="B357" s="154" t="str">
        <f>IF(B$57="","",B$57)</f>
        <v>B</v>
      </c>
      <c r="C357" s="65" t="str">
        <f>IF($C$57="","",$C$57)</f>
        <v>Zinsen, Zinssteuererstattungen</v>
      </c>
      <c r="D357" s="66">
        <f t="shared" ca="1" si="10"/>
        <v>0</v>
      </c>
      <c r="E357" s="67"/>
      <c r="F357" s="64">
        <f>$F$57</f>
        <v>250</v>
      </c>
      <c r="G357" s="154" t="str">
        <f>IF(G$57="","",G$57)</f>
        <v>B</v>
      </c>
      <c r="H357" s="65" t="str">
        <f>IF($H$57="","",$H$57)</f>
        <v>Steuern</v>
      </c>
      <c r="I357" s="66">
        <f t="shared" ca="1" si="11"/>
        <v>0</v>
      </c>
      <c r="L357" s="119">
        <f ca="1">L309+L314+L319+L324+L329+L334+L339+L344+L349+L354</f>
        <v>0</v>
      </c>
      <c r="M357" s="120" t="s">
        <v>111</v>
      </c>
      <c r="N357" s="121">
        <f ca="1">N309+N314+N319+N324+N329+N334+N339+N344+N349+N354</f>
        <v>0</v>
      </c>
      <c r="Q357" s="119">
        <f ca="1">Q309+Q314+Q319+Q324+Q329+Q334+Q339+Q344+Q349+Q354</f>
        <v>0</v>
      </c>
      <c r="R357" s="120" t="s">
        <v>111</v>
      </c>
      <c r="S357" s="121">
        <f ca="1">S309+S314+S319+S324+S329+S334+S339+S344+S349+S354</f>
        <v>0</v>
      </c>
    </row>
    <row r="358" spans="1:19" ht="13.5" customHeight="1" thickTop="1" thickBot="1">
      <c r="A358" s="68" t="s">
        <v>38</v>
      </c>
      <c r="B358" s="91"/>
      <c r="C358" s="69"/>
      <c r="D358" s="70">
        <f ca="1">SUM(D307:D357)</f>
        <v>0</v>
      </c>
      <c r="F358" s="68" t="s">
        <v>39</v>
      </c>
      <c r="G358" s="91"/>
      <c r="H358" s="69"/>
      <c r="I358" s="70">
        <f ca="1">SUM(I307:I357)</f>
        <v>0</v>
      </c>
      <c r="L358" s="117">
        <f ca="1">$D$358</f>
        <v>0</v>
      </c>
      <c r="M358" s="41" t="s">
        <v>110</v>
      </c>
      <c r="N358" s="116">
        <f ca="1">$I$358</f>
        <v>0</v>
      </c>
      <c r="Q358" s="117">
        <f ca="1">$D$358</f>
        <v>0</v>
      </c>
      <c r="R358" s="41" t="s">
        <v>110</v>
      </c>
      <c r="S358" s="116">
        <f ca="1">$I$358</f>
        <v>0</v>
      </c>
    </row>
    <row r="359" spans="1:19" ht="13.5" customHeight="1" thickTop="1">
      <c r="A359" s="71" t="s">
        <v>109</v>
      </c>
      <c r="B359" s="92"/>
      <c r="C359" s="72"/>
      <c r="D359" s="148">
        <f ca="1">Juni!$E$7</f>
        <v>0</v>
      </c>
      <c r="F359" s="71" t="s">
        <v>109</v>
      </c>
      <c r="G359" s="92"/>
      <c r="H359" s="72"/>
      <c r="I359" s="148">
        <f ca="1">Juni!$G$7</f>
        <v>0</v>
      </c>
      <c r="L359" s="114">
        <f ca="1">L309+L314+L319+L324+L329+L334+L339+L344+L349+L354+SUMIF($B$307:$B$357,"",$D$307:$D$357)</f>
        <v>0</v>
      </c>
      <c r="M359" s="115" t="s">
        <v>107</v>
      </c>
      <c r="N359" s="114">
        <f ca="1">N309+N314+N319+N324+N329+N334+N339+N344+N349+N354+SUMIF($G$307:$G$357,"",$I$307:$I$357)</f>
        <v>0</v>
      </c>
      <c r="Q359" s="114">
        <f ca="1">Q309+Q314+Q319+Q324+Q329+Q334+Q339+Q344+Q349+Q354+SUMIF($B$307:$B$357,"",$D$307:$D$357)</f>
        <v>0</v>
      </c>
      <c r="R359" s="115" t="s">
        <v>107</v>
      </c>
      <c r="S359" s="114">
        <f ca="1">S309+S314+S319+S324+S329+S334+S339+S344+S349+S354+SUMIF($G$307:$G$357,"",$I$307:$I$357)</f>
        <v>0</v>
      </c>
    </row>
    <row r="360" spans="1:19" ht="13.5" customHeight="1"/>
    <row r="361" spans="1:19" ht="15.95" customHeight="1">
      <c r="A361" s="57" t="str">
        <f>$A$1</f>
        <v>Einnahmen und Ausgaben nach Kategorien</v>
      </c>
      <c r="B361" s="33"/>
      <c r="C361" s="58"/>
      <c r="D361" s="58"/>
      <c r="E361" s="58"/>
      <c r="F361" s="58"/>
      <c r="G361" s="34"/>
      <c r="H361" s="58"/>
      <c r="I361" s="59" t="str">
        <f>CONCATENATE("Juli ",$A$2)</f>
        <v xml:space="preserve">Juli </v>
      </c>
      <c r="L361" s="33" t="str">
        <f>CONCATENATE("Kategoriengruppen Juli ",$A$2)</f>
        <v xml:space="preserve">Kategoriengruppen Juli </v>
      </c>
      <c r="Q361" s="33" t="str">
        <f>CONCATENATE("Kategoriengruppen Juli ",$A$2)</f>
        <v xml:space="preserve">Kategoriengruppen Juli </v>
      </c>
    </row>
    <row r="362" spans="1:19" ht="13.5" customHeight="1"/>
    <row r="363" spans="1:19" ht="13.5" customHeight="1"/>
    <row r="364" spans="1:19" ht="13.5" customHeight="1">
      <c r="A364" s="60" t="s">
        <v>40</v>
      </c>
      <c r="B364" s="39"/>
      <c r="C364" s="60"/>
      <c r="D364" s="60"/>
      <c r="F364" s="60" t="s">
        <v>41</v>
      </c>
      <c r="G364" s="39"/>
      <c r="H364" s="60"/>
      <c r="I364" s="60"/>
      <c r="L364" s="39" t="s">
        <v>84</v>
      </c>
      <c r="M364" s="103" t="s">
        <v>106</v>
      </c>
      <c r="N364" s="39" t="s">
        <v>85</v>
      </c>
      <c r="Q364" s="39" t="s">
        <v>84</v>
      </c>
      <c r="R364" s="103" t="s">
        <v>106</v>
      </c>
      <c r="S364" s="39" t="s">
        <v>85</v>
      </c>
    </row>
    <row r="365" spans="1:19" ht="13.5" customHeight="1" thickBot="1"/>
    <row r="366" spans="1:19" ht="13.5" customHeight="1" thickTop="1" thickBot="1">
      <c r="A366" s="61" t="s">
        <v>24</v>
      </c>
      <c r="B366" s="90" t="s">
        <v>82</v>
      </c>
      <c r="C366" s="62" t="s">
        <v>25</v>
      </c>
      <c r="D366" s="63" t="str">
        <f>$D$6</f>
        <v>CHF</v>
      </c>
      <c r="F366" s="61" t="s">
        <v>24</v>
      </c>
      <c r="G366" s="90" t="s">
        <v>82</v>
      </c>
      <c r="H366" s="62" t="s">
        <v>25</v>
      </c>
      <c r="I366" s="63" t="str">
        <f>$D$6</f>
        <v>CHF</v>
      </c>
    </row>
    <row r="367" spans="1:19" ht="13.5" customHeight="1" thickTop="1">
      <c r="A367" s="64">
        <f>$A$7</f>
        <v>100</v>
      </c>
      <c r="B367" s="153" t="str">
        <f>IF(B$7="","",B$7)</f>
        <v>A</v>
      </c>
      <c r="C367" s="65" t="str">
        <f>IF($C$7="","",$C$7)</f>
        <v>Ladenverkauf</v>
      </c>
      <c r="D367" s="66">
        <f ca="1">IF(C367="","",SUMIF(INDIRECT("Juli!$D$15:$D$16000"),A367,INDIRECT("Juli!$E$15:$E$16000")))</f>
        <v>0</v>
      </c>
      <c r="E367" s="67"/>
      <c r="F367" s="64">
        <f>$F$7</f>
        <v>200</v>
      </c>
      <c r="G367" s="153" t="str">
        <f>IF(G$7="","",G$7)</f>
        <v>A</v>
      </c>
      <c r="H367" s="65" t="str">
        <f>IF($H$7="","",$H$7)</f>
        <v>Maschinen und Geräte</v>
      </c>
      <c r="I367" s="66">
        <f ca="1">IF(H367="","",SUMIF(INDIRECT("Juli!$F$15:$F$16000"),F367,INDIRECT("Juli!$G$15:$G$16000")))</f>
        <v>0</v>
      </c>
      <c r="L367" s="95" t="s">
        <v>83</v>
      </c>
      <c r="N367" s="95" t="s">
        <v>104</v>
      </c>
      <c r="Q367" s="95" t="s">
        <v>83</v>
      </c>
      <c r="S367" s="95" t="s">
        <v>104</v>
      </c>
    </row>
    <row r="368" spans="1:19" ht="13.5" customHeight="1">
      <c r="A368" s="64">
        <f>$A$8</f>
        <v>101</v>
      </c>
      <c r="B368" s="153" t="str">
        <f>IF(B$8="","",B$8)</f>
        <v>A</v>
      </c>
      <c r="C368" s="65" t="str">
        <f>IF($C$8="","",$C$8)</f>
        <v>Verkauf über Internet</v>
      </c>
      <c r="D368" s="66">
        <f t="shared" ref="D368:D417" ca="1" si="12">IF(C368="","",SUMIF(INDIRECT("Juli!$D$15:$D$16000"),A368,INDIRECT("Juli!$E$15:$E$16000")))</f>
        <v>0</v>
      </c>
      <c r="E368" s="67"/>
      <c r="F368" s="64">
        <f>$F$8</f>
        <v>201</v>
      </c>
      <c r="G368" s="153" t="str">
        <f>IF(G$8="","",G$8)</f>
        <v>A</v>
      </c>
      <c r="H368" s="65" t="str">
        <f>IF($H$8="","",$H$8)</f>
        <v>Ladenmiete</v>
      </c>
      <c r="I368" s="66">
        <f t="shared" ref="I368:I417" ca="1" si="13">IF(H368="","",SUMIF(INDIRECT("Juli!$F$15:$F$16000"),F368,INDIRECT("Juli!$G$15:$G$16000")))</f>
        <v>0</v>
      </c>
      <c r="L368" s="112" t="str">
        <f>IF(L$8="","",L$8)</f>
        <v>Landwirtschaft</v>
      </c>
      <c r="N368" s="112" t="str">
        <f>IF(N$8="","",N$8)</f>
        <v>Landwirtschaft</v>
      </c>
      <c r="Q368" s="112" t="str">
        <f>IF(Q$8="","",Q$8)</f>
        <v/>
      </c>
      <c r="S368" s="112" t="str">
        <f>IF(S$8="","",S$8)</f>
        <v/>
      </c>
    </row>
    <row r="369" spans="1:19" ht="13.5" customHeight="1" thickBot="1">
      <c r="A369" s="64">
        <f>$A$9</f>
        <v>102</v>
      </c>
      <c r="B369" s="93" t="str">
        <f>IF(B$9="","",B$9)</f>
        <v/>
      </c>
      <c r="C369" s="65" t="str">
        <f>IF($C$9="","",$C$9)</f>
        <v/>
      </c>
      <c r="D369" s="66" t="str">
        <f t="shared" ca="1" si="12"/>
        <v/>
      </c>
      <c r="E369" s="67"/>
      <c r="F369" s="64">
        <f>$F$9</f>
        <v>202</v>
      </c>
      <c r="G369" s="153" t="str">
        <f>IF(G$9="","",G$9)</f>
        <v>A</v>
      </c>
      <c r="H369" s="65" t="str">
        <f>IF($H$9="","",$H$9)</f>
        <v>Werbeausgaben</v>
      </c>
      <c r="I369" s="66">
        <f t="shared" ca="1" si="13"/>
        <v>0</v>
      </c>
      <c r="L369" s="105">
        <f ca="1">SUMIF($B$367:$B$417,"A",$D$367:$D$417)</f>
        <v>0</v>
      </c>
      <c r="M369" s="104">
        <f ca="1">L369+N369</f>
        <v>0</v>
      </c>
      <c r="N369" s="106">
        <f ca="1">SUMIF($G$367:$G$417,"A",$I$367:$I$417)</f>
        <v>0</v>
      </c>
      <c r="Q369" s="105">
        <f ca="1">SUMIF($B$367:$B$417,"A",$D$367:$D$417)</f>
        <v>0</v>
      </c>
      <c r="R369" s="104">
        <f ca="1">Q369+S369</f>
        <v>0</v>
      </c>
      <c r="S369" s="106">
        <f ca="1">SUMIF($G$367:$G$417,"A",$I$367:$I$417)</f>
        <v>0</v>
      </c>
    </row>
    <row r="370" spans="1:19" ht="13.5" customHeight="1">
      <c r="A370" s="64">
        <f>$A$10</f>
        <v>103</v>
      </c>
      <c r="B370" s="93" t="str">
        <f>IF(B$10="","",B$10)</f>
        <v/>
      </c>
      <c r="C370" s="65" t="str">
        <f>IF($C$10="","",$C$10)</f>
        <v/>
      </c>
      <c r="D370" s="66" t="str">
        <f t="shared" ca="1" si="12"/>
        <v/>
      </c>
      <c r="E370" s="67"/>
      <c r="F370" s="64">
        <f>$F$10</f>
        <v>203</v>
      </c>
      <c r="G370" s="153" t="str">
        <f>IF(G$10="","",G$10)</f>
        <v>A</v>
      </c>
      <c r="H370" s="65" t="str">
        <f>IF($H$10="","",$H$10)</f>
        <v>Löhne</v>
      </c>
      <c r="I370" s="66">
        <f t="shared" ca="1" si="13"/>
        <v>0</v>
      </c>
    </row>
    <row r="371" spans="1:19" ht="13.5" customHeight="1" thickBot="1">
      <c r="A371" s="64">
        <f>$A$11</f>
        <v>104</v>
      </c>
      <c r="B371" s="93" t="str">
        <f>IF(B$11="","",B$11)</f>
        <v/>
      </c>
      <c r="C371" s="65" t="str">
        <f>IF($C$11="","",$C$11)</f>
        <v/>
      </c>
      <c r="D371" s="66" t="str">
        <f t="shared" ca="1" si="12"/>
        <v/>
      </c>
      <c r="E371" s="67"/>
      <c r="F371" s="64">
        <f>$F$11</f>
        <v>204</v>
      </c>
      <c r="G371" s="93" t="str">
        <f>IF(G$11="","",G$11)</f>
        <v/>
      </c>
      <c r="H371" s="65" t="str">
        <f>IF($H$11="","",$H$11)</f>
        <v/>
      </c>
      <c r="I371" s="66" t="str">
        <f t="shared" ca="1" si="13"/>
        <v/>
      </c>
    </row>
    <row r="372" spans="1:19" ht="13.5" customHeight="1">
      <c r="A372" s="64">
        <f>$A$12</f>
        <v>105</v>
      </c>
      <c r="B372" s="93" t="str">
        <f>IF(B$12="","",B$12)</f>
        <v/>
      </c>
      <c r="C372" s="65" t="str">
        <f>IF($C$12="","",$C$12)</f>
        <v/>
      </c>
      <c r="D372" s="66" t="str">
        <f t="shared" ca="1" si="12"/>
        <v/>
      </c>
      <c r="E372" s="67"/>
      <c r="F372" s="64">
        <f>$F$12</f>
        <v>205</v>
      </c>
      <c r="G372" s="93" t="str">
        <f>IF(G$12="","",G$12)</f>
        <v/>
      </c>
      <c r="H372" s="65" t="str">
        <f>IF($H$12="","",$H$12)</f>
        <v/>
      </c>
      <c r="I372" s="66" t="str">
        <f t="shared" ca="1" si="13"/>
        <v/>
      </c>
      <c r="L372" s="96" t="s">
        <v>86</v>
      </c>
      <c r="N372" s="96" t="s">
        <v>95</v>
      </c>
      <c r="Q372" s="96" t="s">
        <v>86</v>
      </c>
      <c r="S372" s="96" t="s">
        <v>95</v>
      </c>
    </row>
    <row r="373" spans="1:19" ht="13.5" customHeight="1">
      <c r="A373" s="64">
        <f>$A$13</f>
        <v>106</v>
      </c>
      <c r="B373" s="93" t="str">
        <f>IF(B$13="","",B$13)</f>
        <v/>
      </c>
      <c r="C373" s="65" t="str">
        <f>IF($C$13="","",$C$13)</f>
        <v/>
      </c>
      <c r="D373" s="66" t="str">
        <f t="shared" ca="1" si="12"/>
        <v/>
      </c>
      <c r="E373" s="67"/>
      <c r="F373" s="64">
        <f>$F$13</f>
        <v>206</v>
      </c>
      <c r="G373" s="93" t="str">
        <f>IF(G$13="","",G$13)</f>
        <v/>
      </c>
      <c r="H373" s="65" t="str">
        <f>IF($H$13="","",$H$13)</f>
        <v/>
      </c>
      <c r="I373" s="66" t="str">
        <f t="shared" ca="1" si="13"/>
        <v/>
      </c>
      <c r="L373" s="112" t="str">
        <f>IF(L$13="","",L$13)</f>
        <v>Privat</v>
      </c>
      <c r="N373" s="112" t="str">
        <f>IF(N$13="","",N$13)</f>
        <v>Privat</v>
      </c>
      <c r="Q373" s="112" t="str">
        <f>IF(Q$13="","",Q$13)</f>
        <v/>
      </c>
      <c r="S373" s="112" t="str">
        <f>IF(S$13="","",S$13)</f>
        <v/>
      </c>
    </row>
    <row r="374" spans="1:19" ht="13.5" customHeight="1" thickBot="1">
      <c r="A374" s="64">
        <f>$A$14</f>
        <v>107</v>
      </c>
      <c r="B374" s="93" t="str">
        <f>IF(B$14="","",B$14)</f>
        <v/>
      </c>
      <c r="C374" s="65" t="str">
        <f>IF($C$14="","",$C$14)</f>
        <v/>
      </c>
      <c r="D374" s="66" t="str">
        <f t="shared" ca="1" si="12"/>
        <v/>
      </c>
      <c r="E374" s="67"/>
      <c r="F374" s="64">
        <f>$F$14</f>
        <v>207</v>
      </c>
      <c r="G374" s="93" t="str">
        <f>IF(G$14="","",G$14)</f>
        <v/>
      </c>
      <c r="H374" s="65" t="str">
        <f>IF($H$14="","",$H$14)</f>
        <v/>
      </c>
      <c r="I374" s="66" t="str">
        <f t="shared" ca="1" si="13"/>
        <v/>
      </c>
      <c r="L374" s="105">
        <f ca="1">SUMIF($B$367:$B$417,"B",$D$367:$D$417)</f>
        <v>0</v>
      </c>
      <c r="M374" s="104">
        <f ca="1">L374+N374</f>
        <v>0</v>
      </c>
      <c r="N374" s="106">
        <f ca="1">SUMIF($G$367:$G$417,"B",$I$367:$I$417)</f>
        <v>0</v>
      </c>
      <c r="Q374" s="105">
        <f ca="1">SUMIF($B$367:$B$417,"B",$D$367:$D$417)</f>
        <v>0</v>
      </c>
      <c r="R374" s="104">
        <f ca="1">Q374+S374</f>
        <v>0</v>
      </c>
      <c r="S374" s="106">
        <f ca="1">SUMIF($G$367:$G$417,"B",$I$367:$I$417)</f>
        <v>0</v>
      </c>
    </row>
    <row r="375" spans="1:19" ht="13.5" customHeight="1">
      <c r="A375" s="64">
        <f>$A$15</f>
        <v>108</v>
      </c>
      <c r="B375" s="93" t="str">
        <f>IF(B$15="","",B$15)</f>
        <v/>
      </c>
      <c r="C375" s="65" t="str">
        <f>IF($C$15="","",$C$15)</f>
        <v/>
      </c>
      <c r="D375" s="66" t="str">
        <f t="shared" ca="1" si="12"/>
        <v/>
      </c>
      <c r="E375" s="67"/>
      <c r="F375" s="64">
        <f>$F$15</f>
        <v>208</v>
      </c>
      <c r="G375" s="93" t="str">
        <f>IF(G$15="","",G$15)</f>
        <v/>
      </c>
      <c r="H375" s="65" t="str">
        <f>IF($H$15="","",$H$15)</f>
        <v/>
      </c>
      <c r="I375" s="66" t="str">
        <f t="shared" ca="1" si="13"/>
        <v/>
      </c>
    </row>
    <row r="376" spans="1:19" ht="13.5" customHeight="1" thickBot="1">
      <c r="A376" s="64">
        <f>$A$16</f>
        <v>109</v>
      </c>
      <c r="B376" s="93" t="str">
        <f>IF(B$16="","",B$16)</f>
        <v/>
      </c>
      <c r="C376" s="65" t="str">
        <f>IF($C$16="","",$C$16)</f>
        <v/>
      </c>
      <c r="D376" s="66" t="str">
        <f t="shared" ca="1" si="12"/>
        <v/>
      </c>
      <c r="E376" s="67"/>
      <c r="F376" s="64">
        <f>$F$16</f>
        <v>209</v>
      </c>
      <c r="G376" s="93" t="str">
        <f>IF(G$16="","",G$16)</f>
        <v/>
      </c>
      <c r="H376" s="65" t="str">
        <f>IF($H$16="","",$H$16)</f>
        <v/>
      </c>
      <c r="I376" s="66" t="str">
        <f t="shared" ca="1" si="13"/>
        <v/>
      </c>
    </row>
    <row r="377" spans="1:19" ht="13.5" customHeight="1">
      <c r="A377" s="64">
        <f>$A$17</f>
        <v>110</v>
      </c>
      <c r="B377" s="93" t="str">
        <f>IF(B$17="","",B$17)</f>
        <v/>
      </c>
      <c r="C377" s="65" t="str">
        <f>IF($C$17="","",$C$17)</f>
        <v/>
      </c>
      <c r="D377" s="66" t="str">
        <f t="shared" ca="1" si="12"/>
        <v/>
      </c>
      <c r="E377" s="67"/>
      <c r="F377" s="64">
        <f>$F$17</f>
        <v>210</v>
      </c>
      <c r="G377" s="93" t="str">
        <f>IF(G$17="","",G$17)</f>
        <v/>
      </c>
      <c r="H377" s="65" t="str">
        <f>IF($H$17="","",$H$17)</f>
        <v/>
      </c>
      <c r="I377" s="66" t="str">
        <f t="shared" ca="1" si="13"/>
        <v/>
      </c>
      <c r="Q377" s="109" t="s">
        <v>87</v>
      </c>
      <c r="S377" s="109" t="s">
        <v>96</v>
      </c>
    </row>
    <row r="378" spans="1:19" ht="13.5" customHeight="1">
      <c r="A378" s="64">
        <f>$A$18</f>
        <v>111</v>
      </c>
      <c r="B378" s="93" t="str">
        <f>IF(B$18="","",B$18)</f>
        <v/>
      </c>
      <c r="C378" s="65" t="str">
        <f>IF($C$18="","",$C$18)</f>
        <v/>
      </c>
      <c r="D378" s="66" t="str">
        <f t="shared" ca="1" si="12"/>
        <v/>
      </c>
      <c r="E378" s="67"/>
      <c r="F378" s="64">
        <f>$F$18</f>
        <v>211</v>
      </c>
      <c r="G378" s="93" t="str">
        <f>IF(G$18="","",G$18)</f>
        <v/>
      </c>
      <c r="H378" s="65" t="str">
        <f>IF($H$18="","",$H$18)</f>
        <v/>
      </c>
      <c r="I378" s="66" t="str">
        <f t="shared" ca="1" si="13"/>
        <v/>
      </c>
      <c r="Q378" s="112" t="str">
        <f>IF(Q$18="","",Q$18)</f>
        <v/>
      </c>
      <c r="S378" s="112" t="str">
        <f>IF(S$18="","",S$18)</f>
        <v/>
      </c>
    </row>
    <row r="379" spans="1:19" ht="13.5" customHeight="1" thickBot="1">
      <c r="A379" s="64">
        <f>$A$19</f>
        <v>112</v>
      </c>
      <c r="B379" s="93" t="str">
        <f>IF(B$19="","",B$19)</f>
        <v/>
      </c>
      <c r="C379" s="65" t="str">
        <f>IF($C$19="","",$C$19)</f>
        <v/>
      </c>
      <c r="D379" s="66" t="str">
        <f t="shared" ca="1" si="12"/>
        <v/>
      </c>
      <c r="E379" s="67"/>
      <c r="F379" s="64">
        <f>$F$19</f>
        <v>212</v>
      </c>
      <c r="G379" s="93" t="str">
        <f>IF(G$19="","",G$19)</f>
        <v/>
      </c>
      <c r="H379" s="65" t="str">
        <f>IF($H$19="","",$H$19)</f>
        <v/>
      </c>
      <c r="I379" s="66" t="str">
        <f t="shared" ca="1" si="13"/>
        <v/>
      </c>
      <c r="Q379" s="105">
        <f>SUMIF($B$367:$B$417,"C",$D$367:$D$417)</f>
        <v>0</v>
      </c>
      <c r="R379" s="104">
        <f>Q379+S379</f>
        <v>0</v>
      </c>
      <c r="S379" s="106">
        <f>SUMIF($G$367:$G$417,"C",$I$367:$I$417)</f>
        <v>0</v>
      </c>
    </row>
    <row r="380" spans="1:19" ht="13.5" customHeight="1">
      <c r="A380" s="64">
        <f>$A$20</f>
        <v>113</v>
      </c>
      <c r="B380" s="93" t="str">
        <f>IF(B$20="","",B$20)</f>
        <v/>
      </c>
      <c r="C380" s="65" t="str">
        <f>IF($C$20="","",$C$20)</f>
        <v/>
      </c>
      <c r="D380" s="66" t="str">
        <f t="shared" ca="1" si="12"/>
        <v/>
      </c>
      <c r="E380" s="67"/>
      <c r="F380" s="64">
        <f>$F$20</f>
        <v>213</v>
      </c>
      <c r="G380" s="93" t="str">
        <f>IF(G$20="","",G$20)</f>
        <v/>
      </c>
      <c r="H380" s="65" t="str">
        <f>IF($H$20="","",$H$20)</f>
        <v/>
      </c>
      <c r="I380" s="66" t="str">
        <f t="shared" ca="1" si="13"/>
        <v/>
      </c>
    </row>
    <row r="381" spans="1:19" ht="13.5" customHeight="1" thickBot="1">
      <c r="A381" s="64">
        <f>$A$21</f>
        <v>114</v>
      </c>
      <c r="B381" s="93" t="str">
        <f>IF(B$21="","",B$21)</f>
        <v/>
      </c>
      <c r="C381" s="65" t="str">
        <f>IF($C$21="","",$C$21)</f>
        <v/>
      </c>
      <c r="D381" s="66" t="str">
        <f t="shared" ca="1" si="12"/>
        <v/>
      </c>
      <c r="E381" s="67"/>
      <c r="F381" s="64">
        <f>$F$21</f>
        <v>214</v>
      </c>
      <c r="G381" s="93" t="str">
        <f>IF(G$21="","",G$21)</f>
        <v/>
      </c>
      <c r="H381" s="65" t="str">
        <f>IF($H$21="","",$H$21)</f>
        <v/>
      </c>
      <c r="I381" s="66" t="str">
        <f t="shared" ca="1" si="13"/>
        <v/>
      </c>
    </row>
    <row r="382" spans="1:19" ht="13.5" customHeight="1">
      <c r="A382" s="64">
        <f>$A$22</f>
        <v>115</v>
      </c>
      <c r="B382" s="93" t="str">
        <f>IF(B$22="","",B$22)</f>
        <v/>
      </c>
      <c r="C382" s="65" t="str">
        <f>IF($C$22="","",$C$22)</f>
        <v/>
      </c>
      <c r="D382" s="66" t="str">
        <f t="shared" ca="1" si="12"/>
        <v/>
      </c>
      <c r="E382" s="67"/>
      <c r="F382" s="64">
        <f>$F$22</f>
        <v>215</v>
      </c>
      <c r="G382" s="93" t="str">
        <f>IF(G$22="","",G$22)</f>
        <v/>
      </c>
      <c r="H382" s="65" t="str">
        <f>IF($H$22="","",$H$22)</f>
        <v/>
      </c>
      <c r="I382" s="66" t="str">
        <f t="shared" ca="1" si="13"/>
        <v/>
      </c>
      <c r="Q382" s="97" t="s">
        <v>88</v>
      </c>
      <c r="S382" s="97" t="s">
        <v>97</v>
      </c>
    </row>
    <row r="383" spans="1:19" ht="13.5" customHeight="1">
      <c r="A383" s="64">
        <f>$A$23</f>
        <v>116</v>
      </c>
      <c r="B383" s="93" t="str">
        <f>IF(B$23="","",B$23)</f>
        <v/>
      </c>
      <c r="C383" s="65" t="str">
        <f>IF($C$23="","",$C$23)</f>
        <v/>
      </c>
      <c r="D383" s="66" t="str">
        <f t="shared" ca="1" si="12"/>
        <v/>
      </c>
      <c r="E383" s="67"/>
      <c r="F383" s="64">
        <f>$F$23</f>
        <v>216</v>
      </c>
      <c r="G383" s="93" t="str">
        <f>IF(G$23="","",G$23)</f>
        <v/>
      </c>
      <c r="H383" s="65" t="str">
        <f>IF($H$23="","",$H$23)</f>
        <v/>
      </c>
      <c r="I383" s="66" t="str">
        <f t="shared" ca="1" si="13"/>
        <v/>
      </c>
      <c r="Q383" s="112" t="str">
        <f>IF(Q$23="","",Q$23)</f>
        <v/>
      </c>
      <c r="S383" s="112" t="str">
        <f>IF(S$23="","",S$23)</f>
        <v/>
      </c>
    </row>
    <row r="384" spans="1:19" ht="13.5" customHeight="1" thickBot="1">
      <c r="A384" s="64">
        <f>$A$24</f>
        <v>117</v>
      </c>
      <c r="B384" s="93" t="str">
        <f>IF(B$24="","",B$24)</f>
        <v/>
      </c>
      <c r="C384" s="65" t="str">
        <f>IF($C$24="","",$C$24)</f>
        <v/>
      </c>
      <c r="D384" s="66" t="str">
        <f t="shared" ca="1" si="12"/>
        <v/>
      </c>
      <c r="E384" s="67"/>
      <c r="F384" s="64">
        <f>$F$24</f>
        <v>217</v>
      </c>
      <c r="G384" s="93" t="str">
        <f>IF(G$24="","",G$24)</f>
        <v/>
      </c>
      <c r="H384" s="65" t="str">
        <f>IF($H$24="","",$H$24)</f>
        <v/>
      </c>
      <c r="I384" s="66" t="str">
        <f t="shared" ca="1" si="13"/>
        <v/>
      </c>
      <c r="Q384" s="105">
        <f>SUMIF($B$367:$B$417,"D",$D$367:$D$417)</f>
        <v>0</v>
      </c>
      <c r="R384" s="104">
        <f>Q384+S384</f>
        <v>0</v>
      </c>
      <c r="S384" s="106">
        <f>SUMIF($G$367:$G$417,"D",$I$367:$I$417)</f>
        <v>0</v>
      </c>
    </row>
    <row r="385" spans="1:19" ht="13.5" customHeight="1">
      <c r="A385" s="64">
        <f>$A$25</f>
        <v>118</v>
      </c>
      <c r="B385" s="93" t="str">
        <f>IF(B$25="","",B$25)</f>
        <v/>
      </c>
      <c r="C385" s="65" t="str">
        <f>IF($C$25="","",$C$25)</f>
        <v/>
      </c>
      <c r="D385" s="66" t="str">
        <f t="shared" ca="1" si="12"/>
        <v/>
      </c>
      <c r="E385" s="67"/>
      <c r="F385" s="64">
        <f>$F$25</f>
        <v>218</v>
      </c>
      <c r="G385" s="93" t="str">
        <f>IF(G$25="","",G$25)</f>
        <v/>
      </c>
      <c r="H385" s="65" t="str">
        <f>IF($H$25="","",$H$25)</f>
        <v/>
      </c>
      <c r="I385" s="66" t="str">
        <f t="shared" ca="1" si="13"/>
        <v/>
      </c>
    </row>
    <row r="386" spans="1:19" ht="13.5" customHeight="1" thickBot="1">
      <c r="A386" s="64">
        <f>$A$26</f>
        <v>119</v>
      </c>
      <c r="B386" s="93" t="str">
        <f>IF(B$26="","",B$26)</f>
        <v/>
      </c>
      <c r="C386" s="65" t="str">
        <f>IF($C$26="","",$C$26)</f>
        <v/>
      </c>
      <c r="D386" s="66" t="str">
        <f t="shared" ca="1" si="12"/>
        <v/>
      </c>
      <c r="E386" s="67"/>
      <c r="F386" s="64">
        <f>$F$26</f>
        <v>219</v>
      </c>
      <c r="G386" s="93" t="str">
        <f>IF(G$26="","",G$26)</f>
        <v/>
      </c>
      <c r="H386" s="65" t="str">
        <f>IF($H$26="","",$H$26)</f>
        <v/>
      </c>
      <c r="I386" s="66" t="str">
        <f t="shared" ca="1" si="13"/>
        <v/>
      </c>
    </row>
    <row r="387" spans="1:19" ht="13.5" customHeight="1">
      <c r="A387" s="64">
        <f>$A$27</f>
        <v>120</v>
      </c>
      <c r="B387" s="93" t="str">
        <f>IF(B$27="","",B$27)</f>
        <v/>
      </c>
      <c r="C387" s="65" t="str">
        <f>IF($C$27="","",$C$27)</f>
        <v/>
      </c>
      <c r="D387" s="66" t="str">
        <f t="shared" ca="1" si="12"/>
        <v/>
      </c>
      <c r="E387" s="67"/>
      <c r="F387" s="64">
        <f>$F$27</f>
        <v>220</v>
      </c>
      <c r="G387" s="93" t="str">
        <f>IF(G$27="","",G$27)</f>
        <v/>
      </c>
      <c r="H387" s="65" t="str">
        <f>IF($H$27="","",$H$27)</f>
        <v/>
      </c>
      <c r="I387" s="66" t="str">
        <f t="shared" ca="1" si="13"/>
        <v/>
      </c>
      <c r="Q387" s="110" t="s">
        <v>89</v>
      </c>
      <c r="S387" s="110" t="s">
        <v>98</v>
      </c>
    </row>
    <row r="388" spans="1:19" ht="13.5" customHeight="1">
      <c r="A388" s="64">
        <f>$A$28</f>
        <v>121</v>
      </c>
      <c r="B388" s="93" t="str">
        <f>IF(B$28="","",B$28)</f>
        <v/>
      </c>
      <c r="C388" s="65" t="str">
        <f>IF($C$28="","",$C$28)</f>
        <v/>
      </c>
      <c r="D388" s="66" t="str">
        <f t="shared" ca="1" si="12"/>
        <v/>
      </c>
      <c r="E388" s="67"/>
      <c r="F388" s="64">
        <f>$F$28</f>
        <v>221</v>
      </c>
      <c r="G388" s="93" t="str">
        <f>IF(G$28="","",G$28)</f>
        <v/>
      </c>
      <c r="H388" s="65" t="str">
        <f>IF($H$28="","",$H$28)</f>
        <v/>
      </c>
      <c r="I388" s="66" t="str">
        <f t="shared" ca="1" si="13"/>
        <v/>
      </c>
      <c r="Q388" s="112" t="str">
        <f>IF(Q$28="","",Q$28)</f>
        <v/>
      </c>
      <c r="S388" s="112" t="str">
        <f>IF(S$28="","",S$28)</f>
        <v/>
      </c>
    </row>
    <row r="389" spans="1:19" ht="13.5" customHeight="1" thickBot="1">
      <c r="A389" s="64">
        <f>$A$29</f>
        <v>122</v>
      </c>
      <c r="B389" s="93" t="str">
        <f>IF(B$29="","",B$29)</f>
        <v/>
      </c>
      <c r="C389" s="65" t="str">
        <f>IF($C$29="","",$C$29)</f>
        <v/>
      </c>
      <c r="D389" s="66" t="str">
        <f t="shared" ca="1" si="12"/>
        <v/>
      </c>
      <c r="E389" s="67"/>
      <c r="F389" s="64">
        <f>$F$29</f>
        <v>222</v>
      </c>
      <c r="G389" s="93" t="str">
        <f>IF(G$29="","",G$29)</f>
        <v/>
      </c>
      <c r="H389" s="65" t="str">
        <f>IF($H$29="","",$H$29)</f>
        <v/>
      </c>
      <c r="I389" s="66" t="str">
        <f t="shared" ca="1" si="13"/>
        <v/>
      </c>
      <c r="Q389" s="105">
        <f>SUMIF($B$367:$B$417,"E",$D$367:$D$417)</f>
        <v>0</v>
      </c>
      <c r="R389" s="104">
        <f>Q389+S389</f>
        <v>0</v>
      </c>
      <c r="S389" s="106">
        <f>SUMIF($G$367:$G$417,"E",$I$367:$I$417)</f>
        <v>0</v>
      </c>
    </row>
    <row r="390" spans="1:19" ht="13.5" customHeight="1">
      <c r="A390" s="64">
        <f>$A$30</f>
        <v>123</v>
      </c>
      <c r="B390" s="93" t="str">
        <f>IF(B$30="","",B$30)</f>
        <v/>
      </c>
      <c r="C390" s="65" t="str">
        <f>IF($C$30="","",$C$30)</f>
        <v/>
      </c>
      <c r="D390" s="66" t="str">
        <f t="shared" ca="1" si="12"/>
        <v/>
      </c>
      <c r="E390" s="67"/>
      <c r="F390" s="64">
        <f>$F$30</f>
        <v>223</v>
      </c>
      <c r="G390" s="93" t="str">
        <f>IF(G$30="","",G$30)</f>
        <v/>
      </c>
      <c r="H390" s="65" t="str">
        <f>IF($H$30="","",$H$30)</f>
        <v/>
      </c>
      <c r="I390" s="66" t="str">
        <f t="shared" ca="1" si="13"/>
        <v/>
      </c>
    </row>
    <row r="391" spans="1:19" ht="13.5" customHeight="1" thickBot="1">
      <c r="A391" s="64">
        <f>$A$31</f>
        <v>124</v>
      </c>
      <c r="B391" s="93" t="str">
        <f>IF(B$31="","",B$31)</f>
        <v/>
      </c>
      <c r="C391" s="65" t="str">
        <f>IF($C$31="","",$C$31)</f>
        <v/>
      </c>
      <c r="D391" s="66" t="str">
        <f t="shared" ca="1" si="12"/>
        <v/>
      </c>
      <c r="E391" s="67"/>
      <c r="F391" s="64">
        <f>$F$31</f>
        <v>224</v>
      </c>
      <c r="G391" s="93" t="str">
        <f>IF(G$31="","",G$31)</f>
        <v/>
      </c>
      <c r="H391" s="65" t="str">
        <f>IF($H$31="","",$H$31)</f>
        <v/>
      </c>
      <c r="I391" s="66" t="str">
        <f t="shared" ca="1" si="13"/>
        <v/>
      </c>
    </row>
    <row r="392" spans="1:19" ht="13.5" customHeight="1">
      <c r="A392" s="64">
        <f>$A$32</f>
        <v>125</v>
      </c>
      <c r="B392" s="154" t="str">
        <f>IF(B$32="","",B$32)</f>
        <v>B</v>
      </c>
      <c r="C392" s="65" t="str">
        <f>IF($C$32="","",$C$32)</f>
        <v>Lohn Nebenerwerb</v>
      </c>
      <c r="D392" s="66">
        <f t="shared" ca="1" si="12"/>
        <v>0</v>
      </c>
      <c r="E392" s="67"/>
      <c r="F392" s="64">
        <f>$F$32</f>
        <v>225</v>
      </c>
      <c r="G392" s="154" t="str">
        <f>IF(G$32="","",G$32)</f>
        <v>B</v>
      </c>
      <c r="H392" s="65" t="str">
        <f>IF($H$32="","",$H$32)</f>
        <v>Nahrung, Kleider, Körperpflege</v>
      </c>
      <c r="I392" s="66">
        <f t="shared" ca="1" si="13"/>
        <v>0</v>
      </c>
      <c r="Q392" s="98" t="s">
        <v>90</v>
      </c>
      <c r="S392" s="98" t="s">
        <v>99</v>
      </c>
    </row>
    <row r="393" spans="1:19" ht="13.5" customHeight="1">
      <c r="A393" s="64">
        <f>$A$33</f>
        <v>126</v>
      </c>
      <c r="B393" s="93" t="str">
        <f>IF(B$33="","",B$33)</f>
        <v/>
      </c>
      <c r="C393" s="65" t="str">
        <f>IF($C$33="","",$C$33)</f>
        <v/>
      </c>
      <c r="D393" s="66" t="str">
        <f t="shared" ca="1" si="12"/>
        <v/>
      </c>
      <c r="E393" s="67"/>
      <c r="F393" s="64">
        <f>$F$33</f>
        <v>226</v>
      </c>
      <c r="G393" s="154" t="str">
        <f>IF(G$33="","",G$33)</f>
        <v>B</v>
      </c>
      <c r="H393" s="65" t="str">
        <f>IF($H$33="","",$H$33)</f>
        <v>Autokosten</v>
      </c>
      <c r="I393" s="66">
        <f t="shared" ca="1" si="13"/>
        <v>0</v>
      </c>
      <c r="Q393" s="112" t="str">
        <f>IF(Q$33="","",Q$33)</f>
        <v/>
      </c>
      <c r="S393" s="112" t="str">
        <f>IF(S$33="","",S$33)</f>
        <v/>
      </c>
    </row>
    <row r="394" spans="1:19" ht="13.5" customHeight="1" thickBot="1">
      <c r="A394" s="64">
        <f>$A$34</f>
        <v>127</v>
      </c>
      <c r="B394" s="93" t="str">
        <f>IF(B$34="","",B$34)</f>
        <v/>
      </c>
      <c r="C394" s="65" t="str">
        <f>IF($C$34="","",$C$34)</f>
        <v/>
      </c>
      <c r="D394" s="66" t="str">
        <f t="shared" ca="1" si="12"/>
        <v/>
      </c>
      <c r="E394" s="67"/>
      <c r="F394" s="64">
        <f>$F$34</f>
        <v>227</v>
      </c>
      <c r="G394" s="154" t="str">
        <f>IF(G$34="","",G$34)</f>
        <v>B</v>
      </c>
      <c r="H394" s="65" t="str">
        <f>IF($H$34="","",$H$34)</f>
        <v>Gesundheit, Krankenkasse, Zahnarzt</v>
      </c>
      <c r="I394" s="66">
        <f t="shared" ca="1" si="13"/>
        <v>0</v>
      </c>
      <c r="Q394" s="105">
        <f>SUMIF($B$367:$B$417,"F",$D$367:$D$417)</f>
        <v>0</v>
      </c>
      <c r="R394" s="104">
        <f>Q394+S394</f>
        <v>0</v>
      </c>
      <c r="S394" s="106">
        <f>SUMIF($G$367:$G$417,"F",$I$367:$I$417)</f>
        <v>0</v>
      </c>
    </row>
    <row r="395" spans="1:19" ht="13.5" customHeight="1">
      <c r="A395" s="64">
        <f>$A$35</f>
        <v>128</v>
      </c>
      <c r="B395" s="93" t="str">
        <f>IF(B$35="","",B$35)</f>
        <v/>
      </c>
      <c r="C395" s="65" t="str">
        <f>IF($C$35="","",$C$35)</f>
        <v/>
      </c>
      <c r="D395" s="66" t="str">
        <f t="shared" ca="1" si="12"/>
        <v/>
      </c>
      <c r="E395" s="67"/>
      <c r="F395" s="64">
        <f>$F$35</f>
        <v>228</v>
      </c>
      <c r="G395" s="154" t="str">
        <f>IF(G$35="","",G$35)</f>
        <v>B</v>
      </c>
      <c r="H395" s="65" t="str">
        <f>IF($H$35="","",$H$35)</f>
        <v>Versicherungen allgemein</v>
      </c>
      <c r="I395" s="66">
        <f t="shared" ca="1" si="13"/>
        <v>0</v>
      </c>
    </row>
    <row r="396" spans="1:19" ht="13.5" customHeight="1" thickBot="1">
      <c r="A396" s="64">
        <f>$A$36</f>
        <v>129</v>
      </c>
      <c r="B396" s="93" t="str">
        <f>IF(B$36="","",B$36)</f>
        <v/>
      </c>
      <c r="C396" s="65" t="str">
        <f>IF($C$36="","",$C$36)</f>
        <v/>
      </c>
      <c r="D396" s="66" t="str">
        <f t="shared" ca="1" si="12"/>
        <v/>
      </c>
      <c r="E396" s="67"/>
      <c r="F396" s="64">
        <f>$F$36</f>
        <v>229</v>
      </c>
      <c r="G396" s="154" t="str">
        <f>IF(G$36="","",G$36)</f>
        <v>B</v>
      </c>
      <c r="H396" s="65" t="str">
        <f>IF($H$36="","",$H$36)</f>
        <v>Büro, Computer, Fotos</v>
      </c>
      <c r="I396" s="66">
        <f t="shared" ca="1" si="13"/>
        <v>0</v>
      </c>
    </row>
    <row r="397" spans="1:19" ht="13.5" customHeight="1">
      <c r="A397" s="64">
        <f>$A$37</f>
        <v>130</v>
      </c>
      <c r="B397" s="93" t="str">
        <f>IF(B$37="","",B$37)</f>
        <v/>
      </c>
      <c r="C397" s="65" t="str">
        <f>IF($C$37="","",$C$37)</f>
        <v/>
      </c>
      <c r="D397" s="66" t="str">
        <f t="shared" ca="1" si="12"/>
        <v/>
      </c>
      <c r="E397" s="67"/>
      <c r="F397" s="64">
        <f>$F$37</f>
        <v>230</v>
      </c>
      <c r="G397" s="154" t="str">
        <f>IF(G$37="","",G$37)</f>
        <v>B</v>
      </c>
      <c r="H397" s="65" t="str">
        <f>IF($H$37="","",$H$37)</f>
        <v>Ferien, Ausflüge</v>
      </c>
      <c r="I397" s="66">
        <f t="shared" ca="1" si="13"/>
        <v>0</v>
      </c>
      <c r="Q397" s="99" t="s">
        <v>91</v>
      </c>
      <c r="S397" s="99" t="s">
        <v>100</v>
      </c>
    </row>
    <row r="398" spans="1:19" ht="13.5" customHeight="1">
      <c r="A398" s="64">
        <f>$A$38</f>
        <v>131</v>
      </c>
      <c r="B398" s="93" t="str">
        <f>IF(B$38="","",B$38)</f>
        <v/>
      </c>
      <c r="C398" s="65" t="str">
        <f>IF($C$38="","",$C$38)</f>
        <v/>
      </c>
      <c r="D398" s="66" t="str">
        <f t="shared" ca="1" si="12"/>
        <v/>
      </c>
      <c r="E398" s="67"/>
      <c r="F398" s="64">
        <f>$F$38</f>
        <v>231</v>
      </c>
      <c r="G398" s="154" t="str">
        <f>IF(G$38="","",G$38)</f>
        <v>B</v>
      </c>
      <c r="H398" s="65" t="str">
        <f>IF($H$38="","",$H$38)</f>
        <v>Freizeit, Vergnügen, Unterhaltung</v>
      </c>
      <c r="I398" s="66">
        <f t="shared" ca="1" si="13"/>
        <v>0</v>
      </c>
      <c r="Q398" s="112" t="str">
        <f>IF(Q$38="","",Q$38)</f>
        <v/>
      </c>
      <c r="S398" s="112" t="str">
        <f>IF(S$38="","",S$38)</f>
        <v/>
      </c>
    </row>
    <row r="399" spans="1:19" ht="13.5" customHeight="1" thickBot="1">
      <c r="A399" s="64">
        <f>$A$39</f>
        <v>132</v>
      </c>
      <c r="B399" s="154" t="str">
        <f>IF(B$39="","",B$39)</f>
        <v>B</v>
      </c>
      <c r="C399" s="65" t="str">
        <f>IF($C$39="","",$C$39)</f>
        <v>Feuerwehrsold</v>
      </c>
      <c r="D399" s="66">
        <f t="shared" ca="1" si="12"/>
        <v>0</v>
      </c>
      <c r="E399" s="67"/>
      <c r="F399" s="64">
        <f>$F$39</f>
        <v>232</v>
      </c>
      <c r="G399" s="154" t="str">
        <f>IF(G$39="","",G$39)</f>
        <v>B</v>
      </c>
      <c r="H399" s="65" t="str">
        <f>IF($H$39="","",$H$39)</f>
        <v>Telefon</v>
      </c>
      <c r="I399" s="66">
        <f t="shared" ca="1" si="13"/>
        <v>0</v>
      </c>
      <c r="Q399" s="105">
        <f>SUMIF($B$367:$B$417,"G",$D$367:$D$417)</f>
        <v>0</v>
      </c>
      <c r="R399" s="104">
        <f>Q399+S399</f>
        <v>0</v>
      </c>
      <c r="S399" s="106">
        <f>SUMIF($G$367:$G$417,"G",$I$367:$I$417)</f>
        <v>0</v>
      </c>
    </row>
    <row r="400" spans="1:19" ht="13.5" customHeight="1">
      <c r="A400" s="64">
        <f>$A$40</f>
        <v>133</v>
      </c>
      <c r="B400" s="93" t="str">
        <f>IF(B$40="","",B$40)</f>
        <v/>
      </c>
      <c r="C400" s="65" t="str">
        <f>IF($C$40="","",$C$40)</f>
        <v/>
      </c>
      <c r="D400" s="66" t="str">
        <f t="shared" ca="1" si="12"/>
        <v/>
      </c>
      <c r="E400" s="67"/>
      <c r="F400" s="64">
        <f>$F$40</f>
        <v>233</v>
      </c>
      <c r="G400" s="154" t="str">
        <f>IF(G$40="","",G$40)</f>
        <v>B</v>
      </c>
      <c r="H400" s="65" t="str">
        <f>IF($H$40="","",$H$40)</f>
        <v>Öffentlicher Verkehr und Velo</v>
      </c>
      <c r="I400" s="66">
        <f t="shared" ca="1" si="13"/>
        <v>0</v>
      </c>
    </row>
    <row r="401" spans="1:19" ht="13.5" customHeight="1" thickBot="1">
      <c r="A401" s="64">
        <f>$A$41</f>
        <v>134</v>
      </c>
      <c r="B401" s="93" t="str">
        <f>IF(B$41="","",B$41)</f>
        <v/>
      </c>
      <c r="C401" s="65" t="str">
        <f>IF($C$41="","",$C$41)</f>
        <v/>
      </c>
      <c r="D401" s="66" t="str">
        <f t="shared" ca="1" si="12"/>
        <v/>
      </c>
      <c r="E401" s="67"/>
      <c r="F401" s="64">
        <f>$F$41</f>
        <v>234</v>
      </c>
      <c r="G401" s="154" t="str">
        <f>IF(G$41="","",G$41)</f>
        <v>B</v>
      </c>
      <c r="H401" s="65" t="str">
        <f>IF($H$41="","",$H$41)</f>
        <v>Möbel, Wohnungseinrichtung</v>
      </c>
      <c r="I401" s="66">
        <f t="shared" ca="1" si="13"/>
        <v>0</v>
      </c>
    </row>
    <row r="402" spans="1:19" ht="13.5" customHeight="1">
      <c r="A402" s="64">
        <f>$A$42</f>
        <v>135</v>
      </c>
      <c r="B402" s="93" t="str">
        <f>IF(B$42="","",B$42)</f>
        <v/>
      </c>
      <c r="C402" s="65" t="str">
        <f>IF($C$42="","",$C$42)</f>
        <v/>
      </c>
      <c r="D402" s="66" t="str">
        <f t="shared" ca="1" si="12"/>
        <v/>
      </c>
      <c r="E402" s="67"/>
      <c r="F402" s="64">
        <f>$F$42</f>
        <v>235</v>
      </c>
      <c r="G402" s="154" t="str">
        <f>IF(G$42="","",G$42)</f>
        <v>B</v>
      </c>
      <c r="H402" s="65" t="str">
        <f>IF($H$42="","",$H$42)</f>
        <v>Kosten IT Consulting / Webdesign</v>
      </c>
      <c r="I402" s="66">
        <f t="shared" ca="1" si="13"/>
        <v>0</v>
      </c>
      <c r="Q402" s="100" t="s">
        <v>92</v>
      </c>
      <c r="S402" s="100" t="s">
        <v>101</v>
      </c>
    </row>
    <row r="403" spans="1:19" ht="13.5" customHeight="1">
      <c r="A403" s="64">
        <f>$A$43</f>
        <v>136</v>
      </c>
      <c r="B403" s="93" t="str">
        <f>IF(B$43="","",B$43)</f>
        <v/>
      </c>
      <c r="C403" s="65" t="str">
        <f>IF($C$43="","",$C$43)</f>
        <v/>
      </c>
      <c r="D403" s="66" t="str">
        <f t="shared" ca="1" si="12"/>
        <v/>
      </c>
      <c r="E403" s="67"/>
      <c r="F403" s="64">
        <f>$F$43</f>
        <v>236</v>
      </c>
      <c r="G403" s="154" t="str">
        <f>IF(G$43="","",G$43)</f>
        <v>B</v>
      </c>
      <c r="H403" s="65" t="str">
        <f>IF($H$43="","",$H$43)</f>
        <v>Schule und Bildung Kinder</v>
      </c>
      <c r="I403" s="66">
        <f t="shared" ca="1" si="13"/>
        <v>0</v>
      </c>
      <c r="Q403" s="112" t="str">
        <f>IF(Q$43="","",Q$43)</f>
        <v/>
      </c>
      <c r="S403" s="112" t="str">
        <f>IF(S$43="","",S$43)</f>
        <v/>
      </c>
    </row>
    <row r="404" spans="1:19" ht="13.5" customHeight="1" thickBot="1">
      <c r="A404" s="64">
        <f>$A$44</f>
        <v>137</v>
      </c>
      <c r="B404" s="93" t="str">
        <f>IF(B$44="","",B$44)</f>
        <v/>
      </c>
      <c r="C404" s="65" t="str">
        <f>IF($C$44="","",$C$44)</f>
        <v/>
      </c>
      <c r="D404" s="66" t="str">
        <f t="shared" ca="1" si="12"/>
        <v/>
      </c>
      <c r="E404" s="67"/>
      <c r="F404" s="64">
        <f>$F$44</f>
        <v>237</v>
      </c>
      <c r="G404" s="154" t="str">
        <f>IF(G$44="","",G$44)</f>
        <v>B</v>
      </c>
      <c r="H404" s="65" t="str">
        <f>IF($H$44="","",$H$44)</f>
        <v>Org. Freizeitaktivitäten der Kinder</v>
      </c>
      <c r="I404" s="66">
        <f t="shared" ca="1" si="13"/>
        <v>0</v>
      </c>
      <c r="Q404" s="105">
        <f>SUMIF($B$367:$B$417,"H",$D$367:$D$417)</f>
        <v>0</v>
      </c>
      <c r="R404" s="104">
        <f>Q404+S404</f>
        <v>0</v>
      </c>
      <c r="S404" s="106">
        <f>SUMIF($G$367:$G$417,"H",$I$367:$I$417)</f>
        <v>0</v>
      </c>
    </row>
    <row r="405" spans="1:19" ht="13.5" customHeight="1">
      <c r="A405" s="64">
        <f>$A$45</f>
        <v>138</v>
      </c>
      <c r="B405" s="93" t="str">
        <f>IF(B$45="","",B$45)</f>
        <v/>
      </c>
      <c r="C405" s="65" t="str">
        <f>IF($C$45="","",$C$45)</f>
        <v/>
      </c>
      <c r="D405" s="66" t="str">
        <f t="shared" ca="1" si="12"/>
        <v/>
      </c>
      <c r="E405" s="67"/>
      <c r="F405" s="64">
        <f>$F$45</f>
        <v>238</v>
      </c>
      <c r="G405" s="93" t="str">
        <f>IF(G$45="","",G$45)</f>
        <v/>
      </c>
      <c r="H405" s="65" t="str">
        <f>IF($H$45="","",$H$45)</f>
        <v/>
      </c>
      <c r="I405" s="66" t="str">
        <f t="shared" ca="1" si="13"/>
        <v/>
      </c>
    </row>
    <row r="406" spans="1:19" ht="13.5" customHeight="1" thickBot="1">
      <c r="A406" s="64">
        <f>$A$46</f>
        <v>139</v>
      </c>
      <c r="B406" s="93" t="str">
        <f>IF(B$46="","",B$46)</f>
        <v/>
      </c>
      <c r="C406" s="65" t="str">
        <f>IF($C$46="","",$C$46)</f>
        <v/>
      </c>
      <c r="D406" s="66" t="str">
        <f t="shared" ca="1" si="12"/>
        <v/>
      </c>
      <c r="E406" s="67"/>
      <c r="F406" s="64">
        <f>$F$46</f>
        <v>239</v>
      </c>
      <c r="G406" s="154" t="str">
        <f>IF(G$46="","",G$46)</f>
        <v>B</v>
      </c>
      <c r="H406" s="65" t="str">
        <f>IF($H$46="","",$H$46)</f>
        <v>Wohltätige Spenden</v>
      </c>
      <c r="I406" s="66">
        <f t="shared" ca="1" si="13"/>
        <v>0</v>
      </c>
    </row>
    <row r="407" spans="1:19" ht="13.5" customHeight="1">
      <c r="A407" s="64">
        <f>$A$47</f>
        <v>140</v>
      </c>
      <c r="B407" s="93" t="str">
        <f>IF(B$47="","",B$47)</f>
        <v/>
      </c>
      <c r="C407" s="65" t="str">
        <f>IF($C$47="","",$C$47)</f>
        <v/>
      </c>
      <c r="D407" s="66" t="str">
        <f t="shared" ca="1" si="12"/>
        <v/>
      </c>
      <c r="E407" s="67"/>
      <c r="F407" s="64">
        <f>$F$47</f>
        <v>240</v>
      </c>
      <c r="G407" s="154" t="str">
        <f>IF(G$47="","",G$47)</f>
        <v>B</v>
      </c>
      <c r="H407" s="65" t="str">
        <f>IF($H$47="","",$H$47)</f>
        <v>Vorsorgesparen 3a / PK Einkauf</v>
      </c>
      <c r="I407" s="66">
        <f t="shared" ca="1" si="13"/>
        <v>0</v>
      </c>
      <c r="Q407" s="101" t="s">
        <v>93</v>
      </c>
      <c r="S407" s="101" t="s">
        <v>102</v>
      </c>
    </row>
    <row r="408" spans="1:19" ht="13.5" customHeight="1">
      <c r="A408" s="64">
        <f>$A$48</f>
        <v>141</v>
      </c>
      <c r="B408" s="93" t="str">
        <f>IF(B$48="","",B$48)</f>
        <v/>
      </c>
      <c r="C408" s="65" t="str">
        <f>IF($C$48="","",$C$48)</f>
        <v/>
      </c>
      <c r="D408" s="66" t="str">
        <f t="shared" ca="1" si="12"/>
        <v/>
      </c>
      <c r="E408" s="67"/>
      <c r="F408" s="64">
        <f>$F$48</f>
        <v>241</v>
      </c>
      <c r="G408" s="93" t="str">
        <f>IF(G$48="","",G$48)</f>
        <v/>
      </c>
      <c r="H408" s="65" t="str">
        <f>IF($H$48="","",$H$48)</f>
        <v/>
      </c>
      <c r="I408" s="66" t="str">
        <f t="shared" ca="1" si="13"/>
        <v/>
      </c>
      <c r="Q408" s="112" t="str">
        <f>IF(Q$48="","",Q$48)</f>
        <v/>
      </c>
      <c r="S408" s="112" t="str">
        <f>IF(S$48="","",S$48)</f>
        <v/>
      </c>
    </row>
    <row r="409" spans="1:19" ht="13.5" customHeight="1" thickBot="1">
      <c r="A409" s="64">
        <f>$A$49</f>
        <v>142</v>
      </c>
      <c r="B409" s="93" t="str">
        <f>IF(B$49="","",B$49)</f>
        <v/>
      </c>
      <c r="C409" s="65" t="str">
        <f>IF($C$49="","",$C$49)</f>
        <v/>
      </c>
      <c r="D409" s="66" t="str">
        <f t="shared" ca="1" si="12"/>
        <v/>
      </c>
      <c r="E409" s="67"/>
      <c r="F409" s="64">
        <f>$F$49</f>
        <v>242</v>
      </c>
      <c r="G409" s="93" t="str">
        <f>IF(G$49="","",G$49)</f>
        <v/>
      </c>
      <c r="H409" s="65" t="str">
        <f>IF($H$49="","",$H$49)</f>
        <v/>
      </c>
      <c r="I409" s="66" t="str">
        <f t="shared" ca="1" si="13"/>
        <v/>
      </c>
      <c r="Q409" s="105">
        <f>SUMIF($B$367:$B$417,"I",$D$367:$D$417)</f>
        <v>0</v>
      </c>
      <c r="R409" s="104">
        <f>Q409+S409</f>
        <v>0</v>
      </c>
      <c r="S409" s="106">
        <f>SUMIF($G$367:$G$417,"I",$I$367:$I$417)</f>
        <v>0</v>
      </c>
    </row>
    <row r="410" spans="1:19" ht="13.5" customHeight="1">
      <c r="A410" s="64">
        <f>$A$50</f>
        <v>143</v>
      </c>
      <c r="B410" s="93" t="str">
        <f>IF(B$50="","",B$50)</f>
        <v/>
      </c>
      <c r="C410" s="65" t="str">
        <f>IF($C$50="","",$C$50)</f>
        <v/>
      </c>
      <c r="D410" s="66" t="str">
        <f t="shared" ca="1" si="12"/>
        <v/>
      </c>
      <c r="E410" s="67"/>
      <c r="F410" s="64">
        <f>$F$50</f>
        <v>243</v>
      </c>
      <c r="G410" s="154" t="str">
        <f>IF(G$50="","",G$50)</f>
        <v>B</v>
      </c>
      <c r="H410" s="65" t="str">
        <f>IF($H$50="","",$H$50)</f>
        <v>Wasser</v>
      </c>
      <c r="I410" s="66">
        <f t="shared" ca="1" si="13"/>
        <v>0</v>
      </c>
    </row>
    <row r="411" spans="1:19" ht="13.5" customHeight="1" thickBot="1">
      <c r="A411" s="64">
        <f>$A$51</f>
        <v>144</v>
      </c>
      <c r="B411" s="93" t="str">
        <f>IF(B$51="","",B$51)</f>
        <v/>
      </c>
      <c r="C411" s="65" t="str">
        <f>IF($C$51="","",$C$51)</f>
        <v/>
      </c>
      <c r="D411" s="66" t="str">
        <f t="shared" ca="1" si="12"/>
        <v/>
      </c>
      <c r="E411" s="67"/>
      <c r="F411" s="64">
        <f>$F$51</f>
        <v>244</v>
      </c>
      <c r="G411" s="154" t="str">
        <f>IF(G$51="","",G$51)</f>
        <v>B</v>
      </c>
      <c r="H411" s="65" t="str">
        <f>IF($H$51="","",$H$51)</f>
        <v>Strom</v>
      </c>
      <c r="I411" s="66">
        <f t="shared" ca="1" si="13"/>
        <v>0</v>
      </c>
    </row>
    <row r="412" spans="1:19" ht="13.5" customHeight="1">
      <c r="A412" s="64">
        <f>$A$52</f>
        <v>145</v>
      </c>
      <c r="B412" s="93" t="str">
        <f>IF(B$52="","",B$52)</f>
        <v/>
      </c>
      <c r="C412" s="65" t="str">
        <f>IF($C$52="","",$C$52)</f>
        <v/>
      </c>
      <c r="D412" s="66" t="str">
        <f t="shared" ca="1" si="12"/>
        <v/>
      </c>
      <c r="E412" s="67"/>
      <c r="F412" s="64">
        <f>$F$52</f>
        <v>245</v>
      </c>
      <c r="G412" s="154" t="str">
        <f>IF(G$52="","",G$52)</f>
        <v>B</v>
      </c>
      <c r="H412" s="65" t="str">
        <f>IF($H$52="","",$H$52)</f>
        <v>Geschenke</v>
      </c>
      <c r="I412" s="66">
        <f t="shared" ca="1" si="13"/>
        <v>0</v>
      </c>
      <c r="Q412" s="102" t="s">
        <v>94</v>
      </c>
      <c r="S412" s="102" t="s">
        <v>103</v>
      </c>
    </row>
    <row r="413" spans="1:19" ht="13.5" customHeight="1">
      <c r="A413" s="64">
        <f>$A$53</f>
        <v>146</v>
      </c>
      <c r="B413" s="93" t="str">
        <f>IF(B$53="","",B$53)</f>
        <v/>
      </c>
      <c r="C413" s="65" t="str">
        <f>IF($C$53="","",$C$53)</f>
        <v/>
      </c>
      <c r="D413" s="66" t="str">
        <f t="shared" ca="1" si="12"/>
        <v/>
      </c>
      <c r="E413" s="67"/>
      <c r="F413" s="64">
        <f>$F$53</f>
        <v>246</v>
      </c>
      <c r="G413" s="154" t="str">
        <f>IF(G$53="","",G$53)</f>
        <v>B</v>
      </c>
      <c r="H413" s="65" t="str">
        <f>IF($H$53="","",$H$53)</f>
        <v>Erwachsenenbildung</v>
      </c>
      <c r="I413" s="66">
        <f t="shared" ca="1" si="13"/>
        <v>0</v>
      </c>
      <c r="Q413" s="112" t="str">
        <f>IF(Q$53="","",Q$53)</f>
        <v/>
      </c>
      <c r="S413" s="112" t="str">
        <f>IF(S$53="","",S$53)</f>
        <v/>
      </c>
    </row>
    <row r="414" spans="1:19" ht="13.5" customHeight="1" thickBot="1">
      <c r="A414" s="64">
        <f>$A$54</f>
        <v>147</v>
      </c>
      <c r="B414" s="154" t="str">
        <f>IF(B$54="","",B$54)</f>
        <v>B</v>
      </c>
      <c r="C414" s="65" t="str">
        <f>IF($C$54="","",$C$54)</f>
        <v>Diverse Privateinnahmen</v>
      </c>
      <c r="D414" s="66">
        <f t="shared" ca="1" si="12"/>
        <v>0</v>
      </c>
      <c r="E414" s="67"/>
      <c r="F414" s="64">
        <f>$F$54</f>
        <v>247</v>
      </c>
      <c r="G414" s="154" t="str">
        <f>IF(G$54="","",G$54)</f>
        <v>B</v>
      </c>
      <c r="H414" s="65" t="str">
        <f>IF($H$54="","",$H$54)</f>
        <v>Diverse Privatausgaben</v>
      </c>
      <c r="I414" s="66">
        <f t="shared" ca="1" si="13"/>
        <v>0</v>
      </c>
      <c r="Q414" s="105">
        <f>SUMIF($B$367:$B$417,"K",$D$367:$D$417)</f>
        <v>0</v>
      </c>
      <c r="R414" s="104">
        <f>Q414+S414</f>
        <v>0</v>
      </c>
      <c r="S414" s="106">
        <f>SUMIF($G$367:$G$417,"K",$I$367:$I$417)</f>
        <v>0</v>
      </c>
    </row>
    <row r="415" spans="1:19" ht="13.5" customHeight="1">
      <c r="A415" s="64">
        <f>$A$55</f>
        <v>148</v>
      </c>
      <c r="B415" s="93" t="str">
        <f>IF(B$55="","",B$55)</f>
        <v/>
      </c>
      <c r="C415" s="65" t="str">
        <f>IF($C$55="","",$C$55)</f>
        <v/>
      </c>
      <c r="D415" s="66" t="str">
        <f t="shared" ca="1" si="12"/>
        <v/>
      </c>
      <c r="E415" s="67"/>
      <c r="F415" s="64">
        <f>$F$55</f>
        <v>248</v>
      </c>
      <c r="G415" s="154" t="str">
        <f>IF(G$55="","",G$55)</f>
        <v>B</v>
      </c>
      <c r="H415" s="65" t="str">
        <f>IF($H$55="","",$H$55)</f>
        <v>Private Vereinsbeiträge</v>
      </c>
      <c r="I415" s="66">
        <f t="shared" ca="1" si="13"/>
        <v>0</v>
      </c>
    </row>
    <row r="416" spans="1:19" ht="13.5" customHeight="1" thickBot="1">
      <c r="A416" s="64">
        <f>$A$56</f>
        <v>149</v>
      </c>
      <c r="B416" s="93" t="str">
        <f>IF(B$56="","",B$56)</f>
        <v/>
      </c>
      <c r="C416" s="65" t="str">
        <f>IF($C$56="","",$C$56)</f>
        <v/>
      </c>
      <c r="D416" s="66" t="str">
        <f t="shared" ca="1" si="12"/>
        <v/>
      </c>
      <c r="E416" s="67"/>
      <c r="F416" s="64">
        <f>$F$56</f>
        <v>249</v>
      </c>
      <c r="G416" s="154" t="str">
        <f>IF(G$56="","",G$56)</f>
        <v>B</v>
      </c>
      <c r="H416" s="65" t="str">
        <f>IF($H$56="","",$H$56)</f>
        <v>Spesen Vermögensverwaltung</v>
      </c>
      <c r="I416" s="66">
        <f t="shared" ca="1" si="13"/>
        <v>0</v>
      </c>
    </row>
    <row r="417" spans="1:19" ht="13.5" customHeight="1" thickBot="1">
      <c r="A417" s="64">
        <f>$A$57</f>
        <v>150</v>
      </c>
      <c r="B417" s="154" t="str">
        <f>IF(B$57="","",B$57)</f>
        <v>B</v>
      </c>
      <c r="C417" s="65" t="str">
        <f>IF($C$57="","",$C$57)</f>
        <v>Zinsen, Zinssteuererstattungen</v>
      </c>
      <c r="D417" s="66">
        <f t="shared" ca="1" si="12"/>
        <v>0</v>
      </c>
      <c r="E417" s="67"/>
      <c r="F417" s="64">
        <f>$F$57</f>
        <v>250</v>
      </c>
      <c r="G417" s="154" t="str">
        <f>IF(G$57="","",G$57)</f>
        <v>B</v>
      </c>
      <c r="H417" s="65" t="str">
        <f>IF($H$57="","",$H$57)</f>
        <v>Steuern</v>
      </c>
      <c r="I417" s="66">
        <f t="shared" ca="1" si="13"/>
        <v>0</v>
      </c>
      <c r="L417" s="119">
        <f ca="1">L369+L374+L379+L384+L389+L394+L399+L404+L409+L414</f>
        <v>0</v>
      </c>
      <c r="M417" s="120" t="s">
        <v>111</v>
      </c>
      <c r="N417" s="121">
        <f ca="1">N369+N374+N379+N384+N389+N394+N399+N404+N409+N414</f>
        <v>0</v>
      </c>
      <c r="Q417" s="119">
        <f ca="1">Q369+Q374+Q379+Q384+Q389+Q394+Q399+Q404+Q409+Q414</f>
        <v>0</v>
      </c>
      <c r="R417" s="120" t="s">
        <v>111</v>
      </c>
      <c r="S417" s="121">
        <f ca="1">S369+S374+S379+S384+S389+S394+S399+S404+S409+S414</f>
        <v>0</v>
      </c>
    </row>
    <row r="418" spans="1:19" ht="13.5" customHeight="1" thickTop="1" thickBot="1">
      <c r="A418" s="68" t="s">
        <v>38</v>
      </c>
      <c r="B418" s="91"/>
      <c r="C418" s="69"/>
      <c r="D418" s="70">
        <f ca="1">SUM(D367:D417)</f>
        <v>0</v>
      </c>
      <c r="F418" s="68" t="s">
        <v>39</v>
      </c>
      <c r="G418" s="91"/>
      <c r="H418" s="69"/>
      <c r="I418" s="70">
        <f ca="1">SUM(I367:I417)</f>
        <v>0</v>
      </c>
      <c r="L418" s="117">
        <f ca="1">$D$418</f>
        <v>0</v>
      </c>
      <c r="M418" s="41" t="s">
        <v>110</v>
      </c>
      <c r="N418" s="116">
        <f ca="1">$I$418</f>
        <v>0</v>
      </c>
      <c r="Q418" s="117">
        <f ca="1">$D$418</f>
        <v>0</v>
      </c>
      <c r="R418" s="41" t="s">
        <v>110</v>
      </c>
      <c r="S418" s="116">
        <f ca="1">$I$418</f>
        <v>0</v>
      </c>
    </row>
    <row r="419" spans="1:19" ht="13.5" customHeight="1" thickTop="1">
      <c r="A419" s="71" t="s">
        <v>109</v>
      </c>
      <c r="B419" s="92"/>
      <c r="C419" s="72"/>
      <c r="D419" s="148">
        <f ca="1">Juli!$E$7</f>
        <v>0</v>
      </c>
      <c r="F419" s="71" t="s">
        <v>109</v>
      </c>
      <c r="G419" s="92"/>
      <c r="H419" s="72"/>
      <c r="I419" s="148">
        <f ca="1">Juli!$G$7</f>
        <v>0</v>
      </c>
      <c r="L419" s="114">
        <f ca="1">L369+L374+L379+L384+L389+L394+L399+L404+L409+L414+SUMIF($B$367:$B$417,"",$D$367:$D$417)</f>
        <v>0</v>
      </c>
      <c r="M419" s="115" t="s">
        <v>107</v>
      </c>
      <c r="N419" s="114">
        <f ca="1">N369+N374+N379+N384+N389+N394+N399+N404+N409+N414+SUMIF($G$367:$G$417,"",$I$367:$I$417)</f>
        <v>0</v>
      </c>
      <c r="Q419" s="114">
        <f ca="1">Q369+Q374+Q379+Q384+Q389+Q394+Q399+Q404+Q409+Q414+SUMIF($B$367:$B$417,"",$D$367:$D$417)</f>
        <v>0</v>
      </c>
      <c r="R419" s="115" t="s">
        <v>107</v>
      </c>
      <c r="S419" s="114">
        <f ca="1">S369+S374+S379+S384+S389+S394+S399+S404+S409+S414+SUMIF($G$367:$G$417,"",$I$367:$I$417)</f>
        <v>0</v>
      </c>
    </row>
    <row r="420" spans="1:19" ht="13.5" customHeight="1"/>
    <row r="421" spans="1:19" ht="15.95" customHeight="1">
      <c r="A421" s="57" t="str">
        <f>$A$1</f>
        <v>Einnahmen und Ausgaben nach Kategorien</v>
      </c>
      <c r="B421" s="33"/>
      <c r="C421" s="58"/>
      <c r="D421" s="58"/>
      <c r="E421" s="58"/>
      <c r="F421" s="58"/>
      <c r="G421" s="34"/>
      <c r="H421" s="58"/>
      <c r="I421" s="59" t="str">
        <f>CONCATENATE("August ",$A$2)</f>
        <v xml:space="preserve">August </v>
      </c>
      <c r="L421" s="33" t="str">
        <f>CONCATENATE("Kategoriengruppen August ",$A$2)</f>
        <v xml:space="preserve">Kategoriengruppen August </v>
      </c>
      <c r="Q421" s="33" t="str">
        <f>CONCATENATE("Kategoriengruppen August ",$A$2)</f>
        <v xml:space="preserve">Kategoriengruppen August </v>
      </c>
    </row>
    <row r="422" spans="1:19" ht="13.5" customHeight="1"/>
    <row r="423" spans="1:19" ht="13.5" customHeight="1"/>
    <row r="424" spans="1:19" ht="13.5" customHeight="1">
      <c r="A424" s="60" t="s">
        <v>40</v>
      </c>
      <c r="B424" s="39"/>
      <c r="C424" s="60"/>
      <c r="D424" s="60"/>
      <c r="F424" s="60" t="s">
        <v>41</v>
      </c>
      <c r="G424" s="39"/>
      <c r="H424" s="60"/>
      <c r="I424" s="60"/>
      <c r="L424" s="39" t="s">
        <v>84</v>
      </c>
      <c r="M424" s="103" t="s">
        <v>106</v>
      </c>
      <c r="N424" s="39" t="s">
        <v>85</v>
      </c>
      <c r="Q424" s="39" t="s">
        <v>84</v>
      </c>
      <c r="R424" s="103" t="s">
        <v>106</v>
      </c>
      <c r="S424" s="39" t="s">
        <v>85</v>
      </c>
    </row>
    <row r="425" spans="1:19" ht="13.5" customHeight="1" thickBot="1"/>
    <row r="426" spans="1:19" ht="13.5" customHeight="1" thickTop="1" thickBot="1">
      <c r="A426" s="61" t="s">
        <v>24</v>
      </c>
      <c r="B426" s="90" t="s">
        <v>82</v>
      </c>
      <c r="C426" s="62" t="s">
        <v>25</v>
      </c>
      <c r="D426" s="63" t="str">
        <f>$D$6</f>
        <v>CHF</v>
      </c>
      <c r="F426" s="61" t="s">
        <v>24</v>
      </c>
      <c r="G426" s="90" t="s">
        <v>82</v>
      </c>
      <c r="H426" s="62" t="s">
        <v>25</v>
      </c>
      <c r="I426" s="63" t="str">
        <f>$D$6</f>
        <v>CHF</v>
      </c>
    </row>
    <row r="427" spans="1:19" ht="13.5" customHeight="1" thickTop="1">
      <c r="A427" s="64">
        <f>$A$7</f>
        <v>100</v>
      </c>
      <c r="B427" s="153" t="str">
        <f>IF(B$7="","",B$7)</f>
        <v>A</v>
      </c>
      <c r="C427" s="65" t="str">
        <f>IF($C$7="","",$C$7)</f>
        <v>Ladenverkauf</v>
      </c>
      <c r="D427" s="66">
        <f ca="1">IF(C427="","",SUMIF(INDIRECT("Aug.!$D$15:$D$16000"),A427,INDIRECT("Aug.!$E$15:$E$16000")))</f>
        <v>0</v>
      </c>
      <c r="E427" s="67"/>
      <c r="F427" s="64">
        <f>$F$7</f>
        <v>200</v>
      </c>
      <c r="G427" s="153" t="str">
        <f>IF(G$7="","",G$7)</f>
        <v>A</v>
      </c>
      <c r="H427" s="65" t="str">
        <f>IF($H$7="","",$H$7)</f>
        <v>Maschinen und Geräte</v>
      </c>
      <c r="I427" s="66">
        <f ca="1">IF(H427="","",SUMIF(INDIRECT("Aug.!$F$15:$F$16000"),F427,INDIRECT("Aug.!$G$15:$G$16000")))</f>
        <v>0</v>
      </c>
      <c r="L427" s="95" t="s">
        <v>83</v>
      </c>
      <c r="N427" s="95" t="s">
        <v>104</v>
      </c>
      <c r="Q427" s="95" t="s">
        <v>83</v>
      </c>
      <c r="S427" s="95" t="s">
        <v>104</v>
      </c>
    </row>
    <row r="428" spans="1:19" ht="13.5" customHeight="1">
      <c r="A428" s="64">
        <f>$A$8</f>
        <v>101</v>
      </c>
      <c r="B428" s="153" t="str">
        <f>IF(B$8="","",B$8)</f>
        <v>A</v>
      </c>
      <c r="C428" s="65" t="str">
        <f>IF($C$8="","",$C$8)</f>
        <v>Verkauf über Internet</v>
      </c>
      <c r="D428" s="66">
        <f t="shared" ref="D428:D477" ca="1" si="14">IF(C428="","",SUMIF(INDIRECT("Aug.!$D$15:$D$16000"),A428,INDIRECT("Aug.!$E$15:$E$16000")))</f>
        <v>0</v>
      </c>
      <c r="E428" s="67"/>
      <c r="F428" s="64">
        <f>$F$8</f>
        <v>201</v>
      </c>
      <c r="G428" s="153" t="str">
        <f>IF(G$8="","",G$8)</f>
        <v>A</v>
      </c>
      <c r="H428" s="65" t="str">
        <f>IF($H$8="","",$H$8)</f>
        <v>Ladenmiete</v>
      </c>
      <c r="I428" s="66">
        <f t="shared" ref="I428:I477" ca="1" si="15">IF(H428="","",SUMIF(INDIRECT("Aug.!$F$15:$F$16000"),F428,INDIRECT("Aug.!$G$15:$G$16000")))</f>
        <v>0</v>
      </c>
      <c r="L428" s="112" t="str">
        <f>IF(L$8="","",L$8)</f>
        <v>Landwirtschaft</v>
      </c>
      <c r="N428" s="112" t="str">
        <f>IF(N$8="","",N$8)</f>
        <v>Landwirtschaft</v>
      </c>
      <c r="Q428" s="112" t="str">
        <f>IF(Q$8="","",Q$8)</f>
        <v/>
      </c>
      <c r="S428" s="112" t="str">
        <f>IF(S$8="","",S$8)</f>
        <v/>
      </c>
    </row>
    <row r="429" spans="1:19" ht="13.5" customHeight="1" thickBot="1">
      <c r="A429" s="64">
        <f>$A$9</f>
        <v>102</v>
      </c>
      <c r="B429" s="93" t="str">
        <f>IF(B$9="","",B$9)</f>
        <v/>
      </c>
      <c r="C429" s="65" t="str">
        <f>IF($C$9="","",$C$9)</f>
        <v/>
      </c>
      <c r="D429" s="66" t="str">
        <f t="shared" ca="1" si="14"/>
        <v/>
      </c>
      <c r="E429" s="67"/>
      <c r="F429" s="64">
        <f>$F$9</f>
        <v>202</v>
      </c>
      <c r="G429" s="153" t="str">
        <f>IF(G$9="","",G$9)</f>
        <v>A</v>
      </c>
      <c r="H429" s="65" t="str">
        <f>IF($H$9="","",$H$9)</f>
        <v>Werbeausgaben</v>
      </c>
      <c r="I429" s="66">
        <f t="shared" ca="1" si="15"/>
        <v>0</v>
      </c>
      <c r="L429" s="105">
        <f ca="1">SUMIF($B$427:$B$477,"A",$D$427:$D$477)</f>
        <v>0</v>
      </c>
      <c r="M429" s="104">
        <f ca="1">L429+N429</f>
        <v>0</v>
      </c>
      <c r="N429" s="106">
        <f ca="1">SUMIF($G$427:$G$477,"A",$I$427:$I$477)</f>
        <v>0</v>
      </c>
      <c r="Q429" s="105">
        <f ca="1">SUMIF($B$427:$B$477,"A",$D$427:$D$477)</f>
        <v>0</v>
      </c>
      <c r="R429" s="104">
        <f ca="1">Q429+S429</f>
        <v>0</v>
      </c>
      <c r="S429" s="106">
        <f ca="1">SUMIF($G$427:$G$477,"A",$I$427:$I$477)</f>
        <v>0</v>
      </c>
    </row>
    <row r="430" spans="1:19" ht="13.5" customHeight="1">
      <c r="A430" s="64">
        <f>$A$10</f>
        <v>103</v>
      </c>
      <c r="B430" s="93" t="str">
        <f>IF(B$10="","",B$10)</f>
        <v/>
      </c>
      <c r="C430" s="65" t="str">
        <f>IF($C$10="","",$C$10)</f>
        <v/>
      </c>
      <c r="D430" s="66" t="str">
        <f t="shared" ca="1" si="14"/>
        <v/>
      </c>
      <c r="E430" s="67"/>
      <c r="F430" s="64">
        <f>$F$10</f>
        <v>203</v>
      </c>
      <c r="G430" s="153" t="str">
        <f>IF(G$10="","",G$10)</f>
        <v>A</v>
      </c>
      <c r="H430" s="65" t="str">
        <f>IF($H$10="","",$H$10)</f>
        <v>Löhne</v>
      </c>
      <c r="I430" s="66">
        <f t="shared" ca="1" si="15"/>
        <v>0</v>
      </c>
    </row>
    <row r="431" spans="1:19" ht="13.5" customHeight="1" thickBot="1">
      <c r="A431" s="64">
        <f>$A$11</f>
        <v>104</v>
      </c>
      <c r="B431" s="93" t="str">
        <f>IF(B$11="","",B$11)</f>
        <v/>
      </c>
      <c r="C431" s="65" t="str">
        <f>IF($C$11="","",$C$11)</f>
        <v/>
      </c>
      <c r="D431" s="66" t="str">
        <f t="shared" ca="1" si="14"/>
        <v/>
      </c>
      <c r="E431" s="67"/>
      <c r="F431" s="64">
        <f>$F$11</f>
        <v>204</v>
      </c>
      <c r="G431" s="93" t="str">
        <f>IF(G$11="","",G$11)</f>
        <v/>
      </c>
      <c r="H431" s="65" t="str">
        <f>IF($H$11="","",$H$11)</f>
        <v/>
      </c>
      <c r="I431" s="66" t="str">
        <f t="shared" ca="1" si="15"/>
        <v/>
      </c>
    </row>
    <row r="432" spans="1:19" ht="13.5" customHeight="1">
      <c r="A432" s="64">
        <f>$A$12</f>
        <v>105</v>
      </c>
      <c r="B432" s="93" t="str">
        <f>IF(B$12="","",B$12)</f>
        <v/>
      </c>
      <c r="C432" s="65" t="str">
        <f>IF($C$12="","",$C$12)</f>
        <v/>
      </c>
      <c r="D432" s="66" t="str">
        <f t="shared" ca="1" si="14"/>
        <v/>
      </c>
      <c r="E432" s="67"/>
      <c r="F432" s="64">
        <f>$F$12</f>
        <v>205</v>
      </c>
      <c r="G432" s="93" t="str">
        <f>IF(G$12="","",G$12)</f>
        <v/>
      </c>
      <c r="H432" s="65" t="str">
        <f>IF($H$12="","",$H$12)</f>
        <v/>
      </c>
      <c r="I432" s="66" t="str">
        <f t="shared" ca="1" si="15"/>
        <v/>
      </c>
      <c r="L432" s="96" t="s">
        <v>86</v>
      </c>
      <c r="N432" s="96" t="s">
        <v>95</v>
      </c>
      <c r="Q432" s="96" t="s">
        <v>86</v>
      </c>
      <c r="S432" s="96" t="s">
        <v>95</v>
      </c>
    </row>
    <row r="433" spans="1:19" ht="13.5" customHeight="1">
      <c r="A433" s="64">
        <f>$A$13</f>
        <v>106</v>
      </c>
      <c r="B433" s="93" t="str">
        <f>IF(B$13="","",B$13)</f>
        <v/>
      </c>
      <c r="C433" s="65" t="str">
        <f>IF($C$13="","",$C$13)</f>
        <v/>
      </c>
      <c r="D433" s="66" t="str">
        <f t="shared" ca="1" si="14"/>
        <v/>
      </c>
      <c r="E433" s="67"/>
      <c r="F433" s="64">
        <f>$F$13</f>
        <v>206</v>
      </c>
      <c r="G433" s="93" t="str">
        <f>IF(G$13="","",G$13)</f>
        <v/>
      </c>
      <c r="H433" s="65" t="str">
        <f>IF($H$13="","",$H$13)</f>
        <v/>
      </c>
      <c r="I433" s="66" t="str">
        <f t="shared" ca="1" si="15"/>
        <v/>
      </c>
      <c r="L433" s="112" t="str">
        <f>IF(L$13="","",L$13)</f>
        <v>Privat</v>
      </c>
      <c r="N433" s="112" t="str">
        <f>IF(N$13="","",N$13)</f>
        <v>Privat</v>
      </c>
      <c r="Q433" s="112" t="str">
        <f>IF(Q$13="","",Q$13)</f>
        <v/>
      </c>
      <c r="S433" s="112" t="str">
        <f>IF(S$13="","",S$13)</f>
        <v/>
      </c>
    </row>
    <row r="434" spans="1:19" ht="13.5" customHeight="1" thickBot="1">
      <c r="A434" s="64">
        <f>$A$14</f>
        <v>107</v>
      </c>
      <c r="B434" s="93" t="str">
        <f>IF(B$14="","",B$14)</f>
        <v/>
      </c>
      <c r="C434" s="65" t="str">
        <f>IF($C$14="","",$C$14)</f>
        <v/>
      </c>
      <c r="D434" s="66" t="str">
        <f t="shared" ca="1" si="14"/>
        <v/>
      </c>
      <c r="E434" s="67"/>
      <c r="F434" s="64">
        <f>$F$14</f>
        <v>207</v>
      </c>
      <c r="G434" s="93" t="str">
        <f>IF(G$14="","",G$14)</f>
        <v/>
      </c>
      <c r="H434" s="65" t="str">
        <f>IF($H$14="","",$H$14)</f>
        <v/>
      </c>
      <c r="I434" s="66" t="str">
        <f t="shared" ca="1" si="15"/>
        <v/>
      </c>
      <c r="L434" s="105">
        <f ca="1">SUMIF($B$427:$B$477,"B",$D$427:$D$477)</f>
        <v>0</v>
      </c>
      <c r="M434" s="104">
        <f ca="1">L434+N434</f>
        <v>0</v>
      </c>
      <c r="N434" s="106">
        <f ca="1">SUMIF($G$427:$G$477,"B",$I$427:$I$477)</f>
        <v>0</v>
      </c>
      <c r="Q434" s="105">
        <f ca="1">SUMIF($B$427:$B$477,"B",$D$427:$D$477)</f>
        <v>0</v>
      </c>
      <c r="R434" s="104">
        <f ca="1">Q434+S434</f>
        <v>0</v>
      </c>
      <c r="S434" s="106">
        <f ca="1">SUMIF($G$427:$G$477,"B",$I$427:$I$477)</f>
        <v>0</v>
      </c>
    </row>
    <row r="435" spans="1:19" ht="13.5" customHeight="1">
      <c r="A435" s="64">
        <f>$A$15</f>
        <v>108</v>
      </c>
      <c r="B435" s="93" t="str">
        <f>IF(B$15="","",B$15)</f>
        <v/>
      </c>
      <c r="C435" s="65" t="str">
        <f>IF($C$15="","",$C$15)</f>
        <v/>
      </c>
      <c r="D435" s="66" t="str">
        <f t="shared" ca="1" si="14"/>
        <v/>
      </c>
      <c r="E435" s="67"/>
      <c r="F435" s="64">
        <f>$F$15</f>
        <v>208</v>
      </c>
      <c r="G435" s="93" t="str">
        <f>IF(G$15="","",G$15)</f>
        <v/>
      </c>
      <c r="H435" s="65" t="str">
        <f>IF($H$15="","",$H$15)</f>
        <v/>
      </c>
      <c r="I435" s="66" t="str">
        <f t="shared" ca="1" si="15"/>
        <v/>
      </c>
    </row>
    <row r="436" spans="1:19" ht="13.5" customHeight="1" thickBot="1">
      <c r="A436" s="64">
        <f>$A$16</f>
        <v>109</v>
      </c>
      <c r="B436" s="93" t="str">
        <f>IF(B$16="","",B$16)</f>
        <v/>
      </c>
      <c r="C436" s="65" t="str">
        <f>IF($C$16="","",$C$16)</f>
        <v/>
      </c>
      <c r="D436" s="66" t="str">
        <f t="shared" ca="1" si="14"/>
        <v/>
      </c>
      <c r="E436" s="67"/>
      <c r="F436" s="64">
        <f>$F$16</f>
        <v>209</v>
      </c>
      <c r="G436" s="93" t="str">
        <f>IF(G$16="","",G$16)</f>
        <v/>
      </c>
      <c r="H436" s="65" t="str">
        <f>IF($H$16="","",$H$16)</f>
        <v/>
      </c>
      <c r="I436" s="66" t="str">
        <f t="shared" ca="1" si="15"/>
        <v/>
      </c>
    </row>
    <row r="437" spans="1:19" ht="13.5" customHeight="1">
      <c r="A437" s="64">
        <f>$A$17</f>
        <v>110</v>
      </c>
      <c r="B437" s="93" t="str">
        <f>IF(B$17="","",B$17)</f>
        <v/>
      </c>
      <c r="C437" s="65" t="str">
        <f>IF($C$17="","",$C$17)</f>
        <v/>
      </c>
      <c r="D437" s="66" t="str">
        <f t="shared" ca="1" si="14"/>
        <v/>
      </c>
      <c r="E437" s="67"/>
      <c r="F437" s="64">
        <f>$F$17</f>
        <v>210</v>
      </c>
      <c r="G437" s="93" t="str">
        <f>IF(G$17="","",G$17)</f>
        <v/>
      </c>
      <c r="H437" s="65" t="str">
        <f>IF($H$17="","",$H$17)</f>
        <v/>
      </c>
      <c r="I437" s="66" t="str">
        <f t="shared" ca="1" si="15"/>
        <v/>
      </c>
      <c r="Q437" s="109" t="s">
        <v>87</v>
      </c>
      <c r="S437" s="109" t="s">
        <v>96</v>
      </c>
    </row>
    <row r="438" spans="1:19" ht="13.5" customHeight="1">
      <c r="A438" s="64">
        <f>$A$18</f>
        <v>111</v>
      </c>
      <c r="B438" s="93" t="str">
        <f>IF(B$18="","",B$18)</f>
        <v/>
      </c>
      <c r="C438" s="65" t="str">
        <f>IF($C$18="","",$C$18)</f>
        <v/>
      </c>
      <c r="D438" s="66" t="str">
        <f t="shared" ca="1" si="14"/>
        <v/>
      </c>
      <c r="E438" s="67"/>
      <c r="F438" s="64">
        <f>$F$18</f>
        <v>211</v>
      </c>
      <c r="G438" s="93" t="str">
        <f>IF(G$18="","",G$18)</f>
        <v/>
      </c>
      <c r="H438" s="65" t="str">
        <f>IF($H$18="","",$H$18)</f>
        <v/>
      </c>
      <c r="I438" s="66" t="str">
        <f t="shared" ca="1" si="15"/>
        <v/>
      </c>
      <c r="Q438" s="112" t="str">
        <f>IF(Q$18="","",Q$18)</f>
        <v/>
      </c>
      <c r="S438" s="112" t="str">
        <f>IF(S$18="","",S$18)</f>
        <v/>
      </c>
    </row>
    <row r="439" spans="1:19" ht="13.5" customHeight="1" thickBot="1">
      <c r="A439" s="64">
        <f>$A$19</f>
        <v>112</v>
      </c>
      <c r="B439" s="93" t="str">
        <f>IF(B$19="","",B$19)</f>
        <v/>
      </c>
      <c r="C439" s="65" t="str">
        <f>IF($C$19="","",$C$19)</f>
        <v/>
      </c>
      <c r="D439" s="66" t="str">
        <f t="shared" ca="1" si="14"/>
        <v/>
      </c>
      <c r="E439" s="67"/>
      <c r="F439" s="64">
        <f>$F$19</f>
        <v>212</v>
      </c>
      <c r="G439" s="93" t="str">
        <f>IF(G$19="","",G$19)</f>
        <v/>
      </c>
      <c r="H439" s="65" t="str">
        <f>IF($H$19="","",$H$19)</f>
        <v/>
      </c>
      <c r="I439" s="66" t="str">
        <f t="shared" ca="1" si="15"/>
        <v/>
      </c>
      <c r="Q439" s="105">
        <f>SUMIF($B$427:$B$477,"C",$D$427:$D$477)</f>
        <v>0</v>
      </c>
      <c r="R439" s="104">
        <f>Q439+S439</f>
        <v>0</v>
      </c>
      <c r="S439" s="106">
        <f>SUMIF($G$427:$G$477,"C",$I$427:$I$477)</f>
        <v>0</v>
      </c>
    </row>
    <row r="440" spans="1:19" ht="13.5" customHeight="1">
      <c r="A440" s="64">
        <f>$A$20</f>
        <v>113</v>
      </c>
      <c r="B440" s="93" t="str">
        <f>IF(B$20="","",B$20)</f>
        <v/>
      </c>
      <c r="C440" s="65" t="str">
        <f>IF($C$20="","",$C$20)</f>
        <v/>
      </c>
      <c r="D440" s="66" t="str">
        <f t="shared" ca="1" si="14"/>
        <v/>
      </c>
      <c r="E440" s="67"/>
      <c r="F440" s="64">
        <f>$F$20</f>
        <v>213</v>
      </c>
      <c r="G440" s="93" t="str">
        <f>IF(G$20="","",G$20)</f>
        <v/>
      </c>
      <c r="H440" s="65" t="str">
        <f>IF($H$20="","",$H$20)</f>
        <v/>
      </c>
      <c r="I440" s="66" t="str">
        <f t="shared" ca="1" si="15"/>
        <v/>
      </c>
    </row>
    <row r="441" spans="1:19" ht="13.5" customHeight="1" thickBot="1">
      <c r="A441" s="64">
        <f>$A$21</f>
        <v>114</v>
      </c>
      <c r="B441" s="93" t="str">
        <f>IF(B$21="","",B$21)</f>
        <v/>
      </c>
      <c r="C441" s="65" t="str">
        <f>IF($C$21="","",$C$21)</f>
        <v/>
      </c>
      <c r="D441" s="66" t="str">
        <f t="shared" ca="1" si="14"/>
        <v/>
      </c>
      <c r="E441" s="67"/>
      <c r="F441" s="64">
        <f>$F$21</f>
        <v>214</v>
      </c>
      <c r="G441" s="93" t="str">
        <f>IF(G$21="","",G$21)</f>
        <v/>
      </c>
      <c r="H441" s="65" t="str">
        <f>IF($H$21="","",$H$21)</f>
        <v/>
      </c>
      <c r="I441" s="66" t="str">
        <f t="shared" ca="1" si="15"/>
        <v/>
      </c>
    </row>
    <row r="442" spans="1:19" ht="13.5" customHeight="1">
      <c r="A442" s="64">
        <f>$A$22</f>
        <v>115</v>
      </c>
      <c r="B442" s="93" t="str">
        <f>IF(B$22="","",B$22)</f>
        <v/>
      </c>
      <c r="C442" s="65" t="str">
        <f>IF($C$22="","",$C$22)</f>
        <v/>
      </c>
      <c r="D442" s="66" t="str">
        <f t="shared" ca="1" si="14"/>
        <v/>
      </c>
      <c r="E442" s="67"/>
      <c r="F442" s="64">
        <f>$F$22</f>
        <v>215</v>
      </c>
      <c r="G442" s="93" t="str">
        <f>IF(G$22="","",G$22)</f>
        <v/>
      </c>
      <c r="H442" s="65" t="str">
        <f>IF($H$22="","",$H$22)</f>
        <v/>
      </c>
      <c r="I442" s="66" t="str">
        <f t="shared" ca="1" si="15"/>
        <v/>
      </c>
      <c r="Q442" s="97" t="s">
        <v>88</v>
      </c>
      <c r="S442" s="97" t="s">
        <v>97</v>
      </c>
    </row>
    <row r="443" spans="1:19" ht="13.5" customHeight="1">
      <c r="A443" s="64">
        <f>$A$23</f>
        <v>116</v>
      </c>
      <c r="B443" s="93" t="str">
        <f>IF(B$23="","",B$23)</f>
        <v/>
      </c>
      <c r="C443" s="65" t="str">
        <f>IF($C$23="","",$C$23)</f>
        <v/>
      </c>
      <c r="D443" s="66" t="str">
        <f t="shared" ca="1" si="14"/>
        <v/>
      </c>
      <c r="E443" s="67"/>
      <c r="F443" s="64">
        <f>$F$23</f>
        <v>216</v>
      </c>
      <c r="G443" s="93" t="str">
        <f>IF(G$23="","",G$23)</f>
        <v/>
      </c>
      <c r="H443" s="65" t="str">
        <f>IF($H$23="","",$H$23)</f>
        <v/>
      </c>
      <c r="I443" s="66" t="str">
        <f t="shared" ca="1" si="15"/>
        <v/>
      </c>
      <c r="Q443" s="112" t="str">
        <f>IF(Q$23="","",Q$23)</f>
        <v/>
      </c>
      <c r="S443" s="112" t="str">
        <f>IF(S$23="","",S$23)</f>
        <v/>
      </c>
    </row>
    <row r="444" spans="1:19" ht="13.5" customHeight="1" thickBot="1">
      <c r="A444" s="64">
        <f>$A$24</f>
        <v>117</v>
      </c>
      <c r="B444" s="93" t="str">
        <f>IF(B$24="","",B$24)</f>
        <v/>
      </c>
      <c r="C444" s="65" t="str">
        <f>IF($C$24="","",$C$24)</f>
        <v/>
      </c>
      <c r="D444" s="66" t="str">
        <f t="shared" ca="1" si="14"/>
        <v/>
      </c>
      <c r="E444" s="67"/>
      <c r="F444" s="64">
        <f>$F$24</f>
        <v>217</v>
      </c>
      <c r="G444" s="93" t="str">
        <f>IF(G$24="","",G$24)</f>
        <v/>
      </c>
      <c r="H444" s="65" t="str">
        <f>IF($H$24="","",$H$24)</f>
        <v/>
      </c>
      <c r="I444" s="66" t="str">
        <f t="shared" ca="1" si="15"/>
        <v/>
      </c>
      <c r="Q444" s="105">
        <f>SUMIF($B$427:$B$477,"D",$D$427:$D$477)</f>
        <v>0</v>
      </c>
      <c r="R444" s="104">
        <f>Q444+S444</f>
        <v>0</v>
      </c>
      <c r="S444" s="106">
        <f>SUMIF($G$427:$G$477,"D",$I$427:$I$477)</f>
        <v>0</v>
      </c>
    </row>
    <row r="445" spans="1:19" ht="13.5" customHeight="1">
      <c r="A445" s="64">
        <f>$A$25</f>
        <v>118</v>
      </c>
      <c r="B445" s="93" t="str">
        <f>IF(B$25="","",B$25)</f>
        <v/>
      </c>
      <c r="C445" s="65" t="str">
        <f>IF($C$25="","",$C$25)</f>
        <v/>
      </c>
      <c r="D445" s="66" t="str">
        <f t="shared" ca="1" si="14"/>
        <v/>
      </c>
      <c r="E445" s="67"/>
      <c r="F445" s="64">
        <f>$F$25</f>
        <v>218</v>
      </c>
      <c r="G445" s="93" t="str">
        <f>IF(G$25="","",G$25)</f>
        <v/>
      </c>
      <c r="H445" s="65" t="str">
        <f>IF($H$25="","",$H$25)</f>
        <v/>
      </c>
      <c r="I445" s="66" t="str">
        <f t="shared" ca="1" si="15"/>
        <v/>
      </c>
    </row>
    <row r="446" spans="1:19" ht="13.5" customHeight="1" thickBot="1">
      <c r="A446" s="64">
        <f>$A$26</f>
        <v>119</v>
      </c>
      <c r="B446" s="93" t="str">
        <f>IF(B$26="","",B$26)</f>
        <v/>
      </c>
      <c r="C446" s="65" t="str">
        <f>IF($C$26="","",$C$26)</f>
        <v/>
      </c>
      <c r="D446" s="66" t="str">
        <f t="shared" ca="1" si="14"/>
        <v/>
      </c>
      <c r="E446" s="67"/>
      <c r="F446" s="64">
        <f>$F$26</f>
        <v>219</v>
      </c>
      <c r="G446" s="93" t="str">
        <f>IF(G$26="","",G$26)</f>
        <v/>
      </c>
      <c r="H446" s="65" t="str">
        <f>IF($H$26="","",$H$26)</f>
        <v/>
      </c>
      <c r="I446" s="66" t="str">
        <f t="shared" ca="1" si="15"/>
        <v/>
      </c>
    </row>
    <row r="447" spans="1:19" ht="13.5" customHeight="1">
      <c r="A447" s="64">
        <f>$A$27</f>
        <v>120</v>
      </c>
      <c r="B447" s="93" t="str">
        <f>IF(B$27="","",B$27)</f>
        <v/>
      </c>
      <c r="C447" s="65" t="str">
        <f>IF($C$27="","",$C$27)</f>
        <v/>
      </c>
      <c r="D447" s="66" t="str">
        <f t="shared" ca="1" si="14"/>
        <v/>
      </c>
      <c r="E447" s="67"/>
      <c r="F447" s="64">
        <f>$F$27</f>
        <v>220</v>
      </c>
      <c r="G447" s="93" t="str">
        <f>IF(G$27="","",G$27)</f>
        <v/>
      </c>
      <c r="H447" s="65" t="str">
        <f>IF($H$27="","",$H$27)</f>
        <v/>
      </c>
      <c r="I447" s="66" t="str">
        <f t="shared" ca="1" si="15"/>
        <v/>
      </c>
      <c r="Q447" s="110" t="s">
        <v>89</v>
      </c>
      <c r="S447" s="110" t="s">
        <v>98</v>
      </c>
    </row>
    <row r="448" spans="1:19" ht="13.5" customHeight="1">
      <c r="A448" s="64">
        <f>$A$28</f>
        <v>121</v>
      </c>
      <c r="B448" s="93" t="str">
        <f>IF(B$28="","",B$28)</f>
        <v/>
      </c>
      <c r="C448" s="65" t="str">
        <f>IF($C$28="","",$C$28)</f>
        <v/>
      </c>
      <c r="D448" s="66" t="str">
        <f t="shared" ca="1" si="14"/>
        <v/>
      </c>
      <c r="E448" s="67"/>
      <c r="F448" s="64">
        <f>$F$28</f>
        <v>221</v>
      </c>
      <c r="G448" s="93" t="str">
        <f>IF(G$28="","",G$28)</f>
        <v/>
      </c>
      <c r="H448" s="65" t="str">
        <f>IF($H$28="","",$H$28)</f>
        <v/>
      </c>
      <c r="I448" s="66" t="str">
        <f t="shared" ca="1" si="15"/>
        <v/>
      </c>
      <c r="Q448" s="112" t="str">
        <f>IF(Q$28="","",Q$28)</f>
        <v/>
      </c>
      <c r="S448" s="112" t="str">
        <f>IF(S$28="","",S$28)</f>
        <v/>
      </c>
    </row>
    <row r="449" spans="1:19" ht="13.5" customHeight="1" thickBot="1">
      <c r="A449" s="64">
        <f>$A$29</f>
        <v>122</v>
      </c>
      <c r="B449" s="93" t="str">
        <f>IF(B$29="","",B$29)</f>
        <v/>
      </c>
      <c r="C449" s="65" t="str">
        <f>IF($C$29="","",$C$29)</f>
        <v/>
      </c>
      <c r="D449" s="66" t="str">
        <f t="shared" ca="1" si="14"/>
        <v/>
      </c>
      <c r="E449" s="67"/>
      <c r="F449" s="64">
        <f>$F$29</f>
        <v>222</v>
      </c>
      <c r="G449" s="93" t="str">
        <f>IF(G$29="","",G$29)</f>
        <v/>
      </c>
      <c r="H449" s="65" t="str">
        <f>IF($H$29="","",$H$29)</f>
        <v/>
      </c>
      <c r="I449" s="66" t="str">
        <f t="shared" ca="1" si="15"/>
        <v/>
      </c>
      <c r="Q449" s="105">
        <f>SUMIF($B$427:$B$477,"E",$D$427:$D$477)</f>
        <v>0</v>
      </c>
      <c r="R449" s="104">
        <f>Q449+S449</f>
        <v>0</v>
      </c>
      <c r="S449" s="106">
        <f>SUMIF($G$427:$G$477,"E",$I$427:$I$477)</f>
        <v>0</v>
      </c>
    </row>
    <row r="450" spans="1:19" ht="13.5" customHeight="1">
      <c r="A450" s="64">
        <f>$A$30</f>
        <v>123</v>
      </c>
      <c r="B450" s="93" t="str">
        <f>IF(B$30="","",B$30)</f>
        <v/>
      </c>
      <c r="C450" s="65" t="str">
        <f>IF($C$30="","",$C$30)</f>
        <v/>
      </c>
      <c r="D450" s="66" t="str">
        <f t="shared" ca="1" si="14"/>
        <v/>
      </c>
      <c r="E450" s="67"/>
      <c r="F450" s="64">
        <f>$F$30</f>
        <v>223</v>
      </c>
      <c r="G450" s="93" t="str">
        <f>IF(G$30="","",G$30)</f>
        <v/>
      </c>
      <c r="H450" s="65" t="str">
        <f>IF($H$30="","",$H$30)</f>
        <v/>
      </c>
      <c r="I450" s="66" t="str">
        <f t="shared" ca="1" si="15"/>
        <v/>
      </c>
    </row>
    <row r="451" spans="1:19" ht="13.5" customHeight="1" thickBot="1">
      <c r="A451" s="64">
        <f>$A$31</f>
        <v>124</v>
      </c>
      <c r="B451" s="93" t="str">
        <f>IF(B$31="","",B$31)</f>
        <v/>
      </c>
      <c r="C451" s="65" t="str">
        <f>IF($C$31="","",$C$31)</f>
        <v/>
      </c>
      <c r="D451" s="66" t="str">
        <f t="shared" ca="1" si="14"/>
        <v/>
      </c>
      <c r="E451" s="67"/>
      <c r="F451" s="64">
        <f>$F$31</f>
        <v>224</v>
      </c>
      <c r="G451" s="93" t="str">
        <f>IF(G$31="","",G$31)</f>
        <v/>
      </c>
      <c r="H451" s="65" t="str">
        <f>IF($H$31="","",$H$31)</f>
        <v/>
      </c>
      <c r="I451" s="66" t="str">
        <f t="shared" ca="1" si="15"/>
        <v/>
      </c>
    </row>
    <row r="452" spans="1:19" ht="13.5" customHeight="1">
      <c r="A452" s="64">
        <f>$A$32</f>
        <v>125</v>
      </c>
      <c r="B452" s="154" t="str">
        <f>IF(B$32="","",B$32)</f>
        <v>B</v>
      </c>
      <c r="C452" s="65" t="str">
        <f>IF($C$32="","",$C$32)</f>
        <v>Lohn Nebenerwerb</v>
      </c>
      <c r="D452" s="66">
        <f t="shared" ca="1" si="14"/>
        <v>0</v>
      </c>
      <c r="E452" s="67"/>
      <c r="F452" s="64">
        <f>$F$32</f>
        <v>225</v>
      </c>
      <c r="G452" s="154" t="str">
        <f>IF(G$32="","",G$32)</f>
        <v>B</v>
      </c>
      <c r="H452" s="65" t="str">
        <f>IF($H$32="","",$H$32)</f>
        <v>Nahrung, Kleider, Körperpflege</v>
      </c>
      <c r="I452" s="66">
        <f t="shared" ca="1" si="15"/>
        <v>0</v>
      </c>
      <c r="Q452" s="98" t="s">
        <v>90</v>
      </c>
      <c r="S452" s="98" t="s">
        <v>99</v>
      </c>
    </row>
    <row r="453" spans="1:19" ht="13.5" customHeight="1">
      <c r="A453" s="64">
        <f>$A$33</f>
        <v>126</v>
      </c>
      <c r="B453" s="93" t="str">
        <f>IF(B$33="","",B$33)</f>
        <v/>
      </c>
      <c r="C453" s="65" t="str">
        <f>IF($C$33="","",$C$33)</f>
        <v/>
      </c>
      <c r="D453" s="66" t="str">
        <f t="shared" ca="1" si="14"/>
        <v/>
      </c>
      <c r="E453" s="67"/>
      <c r="F453" s="64">
        <f>$F$33</f>
        <v>226</v>
      </c>
      <c r="G453" s="154" t="str">
        <f>IF(G$33="","",G$33)</f>
        <v>B</v>
      </c>
      <c r="H453" s="65" t="str">
        <f>IF($H$33="","",$H$33)</f>
        <v>Autokosten</v>
      </c>
      <c r="I453" s="66">
        <f t="shared" ca="1" si="15"/>
        <v>0</v>
      </c>
      <c r="Q453" s="112" t="str">
        <f>IF(Q$33="","",Q$33)</f>
        <v/>
      </c>
      <c r="S453" s="112" t="str">
        <f>IF(S$33="","",S$33)</f>
        <v/>
      </c>
    </row>
    <row r="454" spans="1:19" ht="13.5" customHeight="1" thickBot="1">
      <c r="A454" s="64">
        <f>$A$34</f>
        <v>127</v>
      </c>
      <c r="B454" s="93" t="str">
        <f>IF(B$34="","",B$34)</f>
        <v/>
      </c>
      <c r="C454" s="65" t="str">
        <f>IF($C$34="","",$C$34)</f>
        <v/>
      </c>
      <c r="D454" s="66" t="str">
        <f t="shared" ca="1" si="14"/>
        <v/>
      </c>
      <c r="E454" s="67"/>
      <c r="F454" s="64">
        <f>$F$34</f>
        <v>227</v>
      </c>
      <c r="G454" s="154" t="str">
        <f>IF(G$34="","",G$34)</f>
        <v>B</v>
      </c>
      <c r="H454" s="65" t="str">
        <f>IF($H$34="","",$H$34)</f>
        <v>Gesundheit, Krankenkasse, Zahnarzt</v>
      </c>
      <c r="I454" s="66">
        <f t="shared" ca="1" si="15"/>
        <v>0</v>
      </c>
      <c r="Q454" s="105">
        <f>SUMIF($B$427:$B$477,"F",$D$427:$D$477)</f>
        <v>0</v>
      </c>
      <c r="R454" s="104">
        <f>Q454+S454</f>
        <v>0</v>
      </c>
      <c r="S454" s="106">
        <f>SUMIF($G$427:$G$477,"F",$I$427:$I$477)</f>
        <v>0</v>
      </c>
    </row>
    <row r="455" spans="1:19" ht="13.5" customHeight="1">
      <c r="A455" s="64">
        <f>$A$35</f>
        <v>128</v>
      </c>
      <c r="B455" s="93" t="str">
        <f>IF(B$35="","",B$35)</f>
        <v/>
      </c>
      <c r="C455" s="65" t="str">
        <f>IF($C$35="","",$C$35)</f>
        <v/>
      </c>
      <c r="D455" s="66" t="str">
        <f t="shared" ca="1" si="14"/>
        <v/>
      </c>
      <c r="E455" s="67"/>
      <c r="F455" s="64">
        <f>$F$35</f>
        <v>228</v>
      </c>
      <c r="G455" s="154" t="str">
        <f>IF(G$35="","",G$35)</f>
        <v>B</v>
      </c>
      <c r="H455" s="65" t="str">
        <f>IF($H$35="","",$H$35)</f>
        <v>Versicherungen allgemein</v>
      </c>
      <c r="I455" s="66">
        <f t="shared" ca="1" si="15"/>
        <v>0</v>
      </c>
    </row>
    <row r="456" spans="1:19" ht="13.5" customHeight="1" thickBot="1">
      <c r="A456" s="64">
        <f>$A$36</f>
        <v>129</v>
      </c>
      <c r="B456" s="93" t="str">
        <f>IF(B$36="","",B$36)</f>
        <v/>
      </c>
      <c r="C456" s="65" t="str">
        <f>IF($C$36="","",$C$36)</f>
        <v/>
      </c>
      <c r="D456" s="66" t="str">
        <f t="shared" ca="1" si="14"/>
        <v/>
      </c>
      <c r="E456" s="67"/>
      <c r="F456" s="64">
        <f>$F$36</f>
        <v>229</v>
      </c>
      <c r="G456" s="154" t="str">
        <f>IF(G$36="","",G$36)</f>
        <v>B</v>
      </c>
      <c r="H456" s="65" t="str">
        <f>IF($H$36="","",$H$36)</f>
        <v>Büro, Computer, Fotos</v>
      </c>
      <c r="I456" s="66">
        <f t="shared" ca="1" si="15"/>
        <v>0</v>
      </c>
    </row>
    <row r="457" spans="1:19" ht="13.5" customHeight="1">
      <c r="A457" s="64">
        <f>$A$37</f>
        <v>130</v>
      </c>
      <c r="B457" s="93" t="str">
        <f>IF(B$37="","",B$37)</f>
        <v/>
      </c>
      <c r="C457" s="65" t="str">
        <f>IF($C$37="","",$C$37)</f>
        <v/>
      </c>
      <c r="D457" s="66" t="str">
        <f t="shared" ca="1" si="14"/>
        <v/>
      </c>
      <c r="E457" s="67"/>
      <c r="F457" s="64">
        <f>$F$37</f>
        <v>230</v>
      </c>
      <c r="G457" s="154" t="str">
        <f>IF(G$37="","",G$37)</f>
        <v>B</v>
      </c>
      <c r="H457" s="65" t="str">
        <f>IF($H$37="","",$H$37)</f>
        <v>Ferien, Ausflüge</v>
      </c>
      <c r="I457" s="66">
        <f t="shared" ca="1" si="15"/>
        <v>0</v>
      </c>
      <c r="Q457" s="99" t="s">
        <v>91</v>
      </c>
      <c r="S457" s="99" t="s">
        <v>100</v>
      </c>
    </row>
    <row r="458" spans="1:19" ht="13.5" customHeight="1">
      <c r="A458" s="64">
        <f>$A$38</f>
        <v>131</v>
      </c>
      <c r="B458" s="93" t="str">
        <f>IF(B$38="","",B$38)</f>
        <v/>
      </c>
      <c r="C458" s="65" t="str">
        <f>IF($C$38="","",$C$38)</f>
        <v/>
      </c>
      <c r="D458" s="66" t="str">
        <f t="shared" ca="1" si="14"/>
        <v/>
      </c>
      <c r="E458" s="67"/>
      <c r="F458" s="64">
        <f>$F$38</f>
        <v>231</v>
      </c>
      <c r="G458" s="154" t="str">
        <f>IF(G$38="","",G$38)</f>
        <v>B</v>
      </c>
      <c r="H458" s="65" t="str">
        <f>IF($H$38="","",$H$38)</f>
        <v>Freizeit, Vergnügen, Unterhaltung</v>
      </c>
      <c r="I458" s="66">
        <f t="shared" ca="1" si="15"/>
        <v>0</v>
      </c>
      <c r="Q458" s="112" t="str">
        <f>IF(Q$38="","",Q$38)</f>
        <v/>
      </c>
      <c r="S458" s="112" t="str">
        <f>IF(S$38="","",S$38)</f>
        <v/>
      </c>
    </row>
    <row r="459" spans="1:19" ht="13.5" customHeight="1" thickBot="1">
      <c r="A459" s="64">
        <f>$A$39</f>
        <v>132</v>
      </c>
      <c r="B459" s="154" t="str">
        <f>IF(B$39="","",B$39)</f>
        <v>B</v>
      </c>
      <c r="C459" s="65" t="str">
        <f>IF($C$39="","",$C$39)</f>
        <v>Feuerwehrsold</v>
      </c>
      <c r="D459" s="66">
        <f t="shared" ca="1" si="14"/>
        <v>0</v>
      </c>
      <c r="E459" s="67"/>
      <c r="F459" s="64">
        <f>$F$39</f>
        <v>232</v>
      </c>
      <c r="G459" s="154" t="str">
        <f>IF(G$39="","",G$39)</f>
        <v>B</v>
      </c>
      <c r="H459" s="65" t="str">
        <f>IF($H$39="","",$H$39)</f>
        <v>Telefon</v>
      </c>
      <c r="I459" s="66">
        <f t="shared" ca="1" si="15"/>
        <v>0</v>
      </c>
      <c r="Q459" s="105">
        <f>SUMIF($B$427:$B$477,"G",$D$427:$D$477)</f>
        <v>0</v>
      </c>
      <c r="R459" s="104">
        <f>Q459+S459</f>
        <v>0</v>
      </c>
      <c r="S459" s="106">
        <f>SUMIF($G$427:$G$477,"G",$I$427:$I$477)</f>
        <v>0</v>
      </c>
    </row>
    <row r="460" spans="1:19" ht="13.5" customHeight="1">
      <c r="A460" s="64">
        <f>$A$40</f>
        <v>133</v>
      </c>
      <c r="B460" s="93" t="str">
        <f>IF(B$40="","",B$40)</f>
        <v/>
      </c>
      <c r="C460" s="65" t="str">
        <f>IF($C$40="","",$C$40)</f>
        <v/>
      </c>
      <c r="D460" s="66" t="str">
        <f t="shared" ca="1" si="14"/>
        <v/>
      </c>
      <c r="E460" s="67"/>
      <c r="F460" s="64">
        <f>$F$40</f>
        <v>233</v>
      </c>
      <c r="G460" s="154" t="str">
        <f>IF(G$40="","",G$40)</f>
        <v>B</v>
      </c>
      <c r="H460" s="65" t="str">
        <f>IF($H$40="","",$H$40)</f>
        <v>Öffentlicher Verkehr und Velo</v>
      </c>
      <c r="I460" s="66">
        <f t="shared" ca="1" si="15"/>
        <v>0</v>
      </c>
    </row>
    <row r="461" spans="1:19" ht="13.5" customHeight="1" thickBot="1">
      <c r="A461" s="64">
        <f>$A$41</f>
        <v>134</v>
      </c>
      <c r="B461" s="93" t="str">
        <f>IF(B$41="","",B$41)</f>
        <v/>
      </c>
      <c r="C461" s="65" t="str">
        <f>IF($C$41="","",$C$41)</f>
        <v/>
      </c>
      <c r="D461" s="66" t="str">
        <f t="shared" ca="1" si="14"/>
        <v/>
      </c>
      <c r="E461" s="67"/>
      <c r="F461" s="64">
        <f>$F$41</f>
        <v>234</v>
      </c>
      <c r="G461" s="154" t="str">
        <f>IF(G$41="","",G$41)</f>
        <v>B</v>
      </c>
      <c r="H461" s="65" t="str">
        <f>IF($H$41="","",$H$41)</f>
        <v>Möbel, Wohnungseinrichtung</v>
      </c>
      <c r="I461" s="66">
        <f t="shared" ca="1" si="15"/>
        <v>0</v>
      </c>
    </row>
    <row r="462" spans="1:19" ht="13.5" customHeight="1">
      <c r="A462" s="64">
        <f>$A$42</f>
        <v>135</v>
      </c>
      <c r="B462" s="93" t="str">
        <f>IF(B$42="","",B$42)</f>
        <v/>
      </c>
      <c r="C462" s="65" t="str">
        <f>IF($C$42="","",$C$42)</f>
        <v/>
      </c>
      <c r="D462" s="66" t="str">
        <f t="shared" ca="1" si="14"/>
        <v/>
      </c>
      <c r="E462" s="67"/>
      <c r="F462" s="64">
        <f>$F$42</f>
        <v>235</v>
      </c>
      <c r="G462" s="154" t="str">
        <f>IF(G$42="","",G$42)</f>
        <v>B</v>
      </c>
      <c r="H462" s="65" t="str">
        <f>IF($H$42="","",$H$42)</f>
        <v>Kosten IT Consulting / Webdesign</v>
      </c>
      <c r="I462" s="66">
        <f t="shared" ca="1" si="15"/>
        <v>0</v>
      </c>
      <c r="Q462" s="100" t="s">
        <v>92</v>
      </c>
      <c r="S462" s="100" t="s">
        <v>101</v>
      </c>
    </row>
    <row r="463" spans="1:19" ht="13.5" customHeight="1">
      <c r="A463" s="64">
        <f>$A$43</f>
        <v>136</v>
      </c>
      <c r="B463" s="93" t="str">
        <f>IF(B$43="","",B$43)</f>
        <v/>
      </c>
      <c r="C463" s="65" t="str">
        <f>IF($C$43="","",$C$43)</f>
        <v/>
      </c>
      <c r="D463" s="66" t="str">
        <f t="shared" ca="1" si="14"/>
        <v/>
      </c>
      <c r="E463" s="67"/>
      <c r="F463" s="64">
        <f>$F$43</f>
        <v>236</v>
      </c>
      <c r="G463" s="154" t="str">
        <f>IF(G$43="","",G$43)</f>
        <v>B</v>
      </c>
      <c r="H463" s="65" t="str">
        <f>IF($H$43="","",$H$43)</f>
        <v>Schule und Bildung Kinder</v>
      </c>
      <c r="I463" s="66">
        <f t="shared" ca="1" si="15"/>
        <v>0</v>
      </c>
      <c r="Q463" s="112" t="str">
        <f>IF(Q$43="","",Q$43)</f>
        <v/>
      </c>
      <c r="S463" s="112" t="str">
        <f>IF(S$43="","",S$43)</f>
        <v/>
      </c>
    </row>
    <row r="464" spans="1:19" ht="13.5" customHeight="1" thickBot="1">
      <c r="A464" s="64">
        <f>$A$44</f>
        <v>137</v>
      </c>
      <c r="B464" s="93" t="str">
        <f>IF(B$44="","",B$44)</f>
        <v/>
      </c>
      <c r="C464" s="65" t="str">
        <f>IF($C$44="","",$C$44)</f>
        <v/>
      </c>
      <c r="D464" s="66" t="str">
        <f t="shared" ca="1" si="14"/>
        <v/>
      </c>
      <c r="E464" s="67"/>
      <c r="F464" s="64">
        <f>$F$44</f>
        <v>237</v>
      </c>
      <c r="G464" s="154" t="str">
        <f>IF(G$44="","",G$44)</f>
        <v>B</v>
      </c>
      <c r="H464" s="65" t="str">
        <f>IF($H$44="","",$H$44)</f>
        <v>Org. Freizeitaktivitäten der Kinder</v>
      </c>
      <c r="I464" s="66">
        <f t="shared" ca="1" si="15"/>
        <v>0</v>
      </c>
      <c r="Q464" s="105">
        <f>SUMIF($B$427:$B$477,"H",$D$427:$D$477)</f>
        <v>0</v>
      </c>
      <c r="R464" s="104">
        <f>Q464+S464</f>
        <v>0</v>
      </c>
      <c r="S464" s="106">
        <f>SUMIF($G$427:$G$477,"H",$I$427:$I$477)</f>
        <v>0</v>
      </c>
    </row>
    <row r="465" spans="1:19" ht="13.5" customHeight="1">
      <c r="A465" s="64">
        <f>$A$45</f>
        <v>138</v>
      </c>
      <c r="B465" s="93" t="str">
        <f>IF(B$45="","",B$45)</f>
        <v/>
      </c>
      <c r="C465" s="65" t="str">
        <f>IF($C$45="","",$C$45)</f>
        <v/>
      </c>
      <c r="D465" s="66" t="str">
        <f t="shared" ca="1" si="14"/>
        <v/>
      </c>
      <c r="E465" s="67"/>
      <c r="F465" s="64">
        <f>$F$45</f>
        <v>238</v>
      </c>
      <c r="G465" s="93" t="str">
        <f>IF(G$45="","",G$45)</f>
        <v/>
      </c>
      <c r="H465" s="65" t="str">
        <f>IF($H$45="","",$H$45)</f>
        <v/>
      </c>
      <c r="I465" s="66" t="str">
        <f t="shared" ca="1" si="15"/>
        <v/>
      </c>
    </row>
    <row r="466" spans="1:19" ht="13.5" customHeight="1" thickBot="1">
      <c r="A466" s="64">
        <f>$A$46</f>
        <v>139</v>
      </c>
      <c r="B466" s="93" t="str">
        <f>IF(B$46="","",B$46)</f>
        <v/>
      </c>
      <c r="C466" s="65" t="str">
        <f>IF($C$46="","",$C$46)</f>
        <v/>
      </c>
      <c r="D466" s="66" t="str">
        <f t="shared" ca="1" si="14"/>
        <v/>
      </c>
      <c r="E466" s="67"/>
      <c r="F466" s="64">
        <f>$F$46</f>
        <v>239</v>
      </c>
      <c r="G466" s="154" t="str">
        <f>IF(G$46="","",G$46)</f>
        <v>B</v>
      </c>
      <c r="H466" s="65" t="str">
        <f>IF($H$46="","",$H$46)</f>
        <v>Wohltätige Spenden</v>
      </c>
      <c r="I466" s="66">
        <f t="shared" ca="1" si="15"/>
        <v>0</v>
      </c>
    </row>
    <row r="467" spans="1:19" ht="13.5" customHeight="1">
      <c r="A467" s="64">
        <f>$A$47</f>
        <v>140</v>
      </c>
      <c r="B467" s="93" t="str">
        <f>IF(B$47="","",B$47)</f>
        <v/>
      </c>
      <c r="C467" s="65" t="str">
        <f>IF($C$47="","",$C$47)</f>
        <v/>
      </c>
      <c r="D467" s="66" t="str">
        <f t="shared" ca="1" si="14"/>
        <v/>
      </c>
      <c r="E467" s="67"/>
      <c r="F467" s="64">
        <f>$F$47</f>
        <v>240</v>
      </c>
      <c r="G467" s="154" t="str">
        <f>IF(G$47="","",G$47)</f>
        <v>B</v>
      </c>
      <c r="H467" s="65" t="str">
        <f>IF($H$47="","",$H$47)</f>
        <v>Vorsorgesparen 3a / PK Einkauf</v>
      </c>
      <c r="I467" s="66">
        <f t="shared" ca="1" si="15"/>
        <v>0</v>
      </c>
      <c r="Q467" s="101" t="s">
        <v>93</v>
      </c>
      <c r="S467" s="101" t="s">
        <v>102</v>
      </c>
    </row>
    <row r="468" spans="1:19" ht="13.5" customHeight="1">
      <c r="A468" s="64">
        <f>$A$48</f>
        <v>141</v>
      </c>
      <c r="B468" s="93" t="str">
        <f>IF(B$48="","",B$48)</f>
        <v/>
      </c>
      <c r="C468" s="65" t="str">
        <f>IF($C$48="","",$C$48)</f>
        <v/>
      </c>
      <c r="D468" s="66" t="str">
        <f t="shared" ca="1" si="14"/>
        <v/>
      </c>
      <c r="E468" s="67"/>
      <c r="F468" s="64">
        <f>$F$48</f>
        <v>241</v>
      </c>
      <c r="G468" s="93" t="str">
        <f>IF(G$48="","",G$48)</f>
        <v/>
      </c>
      <c r="H468" s="65" t="str">
        <f>IF($H$48="","",$H$48)</f>
        <v/>
      </c>
      <c r="I468" s="66" t="str">
        <f t="shared" ca="1" si="15"/>
        <v/>
      </c>
      <c r="Q468" s="112" t="str">
        <f>IF(Q$48="","",Q$48)</f>
        <v/>
      </c>
      <c r="S468" s="112" t="str">
        <f>IF(S$48="","",S$48)</f>
        <v/>
      </c>
    </row>
    <row r="469" spans="1:19" ht="13.5" customHeight="1" thickBot="1">
      <c r="A469" s="64">
        <f>$A$49</f>
        <v>142</v>
      </c>
      <c r="B469" s="93" t="str">
        <f>IF(B$49="","",B$49)</f>
        <v/>
      </c>
      <c r="C469" s="65" t="str">
        <f>IF($C$49="","",$C$49)</f>
        <v/>
      </c>
      <c r="D469" s="66" t="str">
        <f t="shared" ca="1" si="14"/>
        <v/>
      </c>
      <c r="E469" s="67"/>
      <c r="F469" s="64">
        <f>$F$49</f>
        <v>242</v>
      </c>
      <c r="G469" s="93" t="str">
        <f>IF(G$49="","",G$49)</f>
        <v/>
      </c>
      <c r="H469" s="65" t="str">
        <f>IF($H$49="","",$H$49)</f>
        <v/>
      </c>
      <c r="I469" s="66" t="str">
        <f t="shared" ca="1" si="15"/>
        <v/>
      </c>
      <c r="Q469" s="105">
        <f>SUMIF($B$427:$B$477,"I",$D$427:$D$477)</f>
        <v>0</v>
      </c>
      <c r="R469" s="104">
        <f>Q469+S469</f>
        <v>0</v>
      </c>
      <c r="S469" s="106">
        <f>SUMIF($G$427:$G$477,"I",$I$427:$I$477)</f>
        <v>0</v>
      </c>
    </row>
    <row r="470" spans="1:19" ht="13.5" customHeight="1">
      <c r="A470" s="64">
        <f>$A$50</f>
        <v>143</v>
      </c>
      <c r="B470" s="93" t="str">
        <f>IF(B$50="","",B$50)</f>
        <v/>
      </c>
      <c r="C470" s="65" t="str">
        <f>IF($C$50="","",$C$50)</f>
        <v/>
      </c>
      <c r="D470" s="66" t="str">
        <f t="shared" ca="1" si="14"/>
        <v/>
      </c>
      <c r="E470" s="67"/>
      <c r="F470" s="64">
        <f>$F$50</f>
        <v>243</v>
      </c>
      <c r="G470" s="154" t="str">
        <f>IF(G$50="","",G$50)</f>
        <v>B</v>
      </c>
      <c r="H470" s="65" t="str">
        <f>IF($H$50="","",$H$50)</f>
        <v>Wasser</v>
      </c>
      <c r="I470" s="66">
        <f t="shared" ca="1" si="15"/>
        <v>0</v>
      </c>
    </row>
    <row r="471" spans="1:19" ht="13.5" customHeight="1" thickBot="1">
      <c r="A471" s="64">
        <f>$A$51</f>
        <v>144</v>
      </c>
      <c r="B471" s="93" t="str">
        <f>IF(B$51="","",B$51)</f>
        <v/>
      </c>
      <c r="C471" s="65" t="str">
        <f>IF($C$51="","",$C$51)</f>
        <v/>
      </c>
      <c r="D471" s="66" t="str">
        <f t="shared" ca="1" si="14"/>
        <v/>
      </c>
      <c r="E471" s="67"/>
      <c r="F471" s="64">
        <f>$F$51</f>
        <v>244</v>
      </c>
      <c r="G471" s="154" t="str">
        <f>IF(G$51="","",G$51)</f>
        <v>B</v>
      </c>
      <c r="H471" s="65" t="str">
        <f>IF($H$51="","",$H$51)</f>
        <v>Strom</v>
      </c>
      <c r="I471" s="66">
        <f t="shared" ca="1" si="15"/>
        <v>0</v>
      </c>
    </row>
    <row r="472" spans="1:19" ht="13.5" customHeight="1">
      <c r="A472" s="64">
        <f>$A$52</f>
        <v>145</v>
      </c>
      <c r="B472" s="93" t="str">
        <f>IF(B$52="","",B$52)</f>
        <v/>
      </c>
      <c r="C472" s="65" t="str">
        <f>IF($C$52="","",$C$52)</f>
        <v/>
      </c>
      <c r="D472" s="66" t="str">
        <f t="shared" ca="1" si="14"/>
        <v/>
      </c>
      <c r="E472" s="67"/>
      <c r="F472" s="64">
        <f>$F$52</f>
        <v>245</v>
      </c>
      <c r="G472" s="154" t="str">
        <f>IF(G$52="","",G$52)</f>
        <v>B</v>
      </c>
      <c r="H472" s="65" t="str">
        <f>IF($H$52="","",$H$52)</f>
        <v>Geschenke</v>
      </c>
      <c r="I472" s="66">
        <f t="shared" ca="1" si="15"/>
        <v>0</v>
      </c>
      <c r="Q472" s="102" t="s">
        <v>94</v>
      </c>
      <c r="S472" s="102" t="s">
        <v>103</v>
      </c>
    </row>
    <row r="473" spans="1:19" ht="13.5" customHeight="1">
      <c r="A473" s="64">
        <f>$A$53</f>
        <v>146</v>
      </c>
      <c r="B473" s="93" t="str">
        <f>IF(B$53="","",B$53)</f>
        <v/>
      </c>
      <c r="C473" s="65" t="str">
        <f>IF($C$53="","",$C$53)</f>
        <v/>
      </c>
      <c r="D473" s="66" t="str">
        <f t="shared" ca="1" si="14"/>
        <v/>
      </c>
      <c r="E473" s="67"/>
      <c r="F473" s="64">
        <f>$F$53</f>
        <v>246</v>
      </c>
      <c r="G473" s="154" t="str">
        <f>IF(G$53="","",G$53)</f>
        <v>B</v>
      </c>
      <c r="H473" s="65" t="str">
        <f>IF($H$53="","",$H$53)</f>
        <v>Erwachsenenbildung</v>
      </c>
      <c r="I473" s="66">
        <f t="shared" ca="1" si="15"/>
        <v>0</v>
      </c>
      <c r="Q473" s="112" t="str">
        <f>IF(Q$53="","",Q$53)</f>
        <v/>
      </c>
      <c r="S473" s="112" t="str">
        <f>IF(S$53="","",S$53)</f>
        <v/>
      </c>
    </row>
    <row r="474" spans="1:19" ht="13.5" customHeight="1" thickBot="1">
      <c r="A474" s="64">
        <f>$A$54</f>
        <v>147</v>
      </c>
      <c r="B474" s="154" t="str">
        <f>IF(B$54="","",B$54)</f>
        <v>B</v>
      </c>
      <c r="C474" s="65" t="str">
        <f>IF($C$54="","",$C$54)</f>
        <v>Diverse Privateinnahmen</v>
      </c>
      <c r="D474" s="66">
        <f t="shared" ca="1" si="14"/>
        <v>0</v>
      </c>
      <c r="E474" s="67"/>
      <c r="F474" s="64">
        <f>$F$54</f>
        <v>247</v>
      </c>
      <c r="G474" s="154" t="str">
        <f>IF(G$54="","",G$54)</f>
        <v>B</v>
      </c>
      <c r="H474" s="65" t="str">
        <f>IF($H$54="","",$H$54)</f>
        <v>Diverse Privatausgaben</v>
      </c>
      <c r="I474" s="66">
        <f t="shared" ca="1" si="15"/>
        <v>0</v>
      </c>
      <c r="Q474" s="105">
        <f>SUMIF($B$427:$B$477,"K",$D$427:$D$477)</f>
        <v>0</v>
      </c>
      <c r="R474" s="104">
        <f>Q474+S474</f>
        <v>0</v>
      </c>
      <c r="S474" s="106">
        <f>SUMIF($G$427:$G$477,"K",$I$427:$I$477)</f>
        <v>0</v>
      </c>
    </row>
    <row r="475" spans="1:19" ht="13.5" customHeight="1">
      <c r="A475" s="64">
        <f>$A$55</f>
        <v>148</v>
      </c>
      <c r="B475" s="93" t="str">
        <f>IF(B$55="","",B$55)</f>
        <v/>
      </c>
      <c r="C475" s="65" t="str">
        <f>IF($C$55="","",$C$55)</f>
        <v/>
      </c>
      <c r="D475" s="66" t="str">
        <f t="shared" ca="1" si="14"/>
        <v/>
      </c>
      <c r="E475" s="67"/>
      <c r="F475" s="64">
        <f>$F$55</f>
        <v>248</v>
      </c>
      <c r="G475" s="154" t="str">
        <f>IF(G$55="","",G$55)</f>
        <v>B</v>
      </c>
      <c r="H475" s="65" t="str">
        <f>IF($H$55="","",$H$55)</f>
        <v>Private Vereinsbeiträge</v>
      </c>
      <c r="I475" s="66">
        <f t="shared" ca="1" si="15"/>
        <v>0</v>
      </c>
    </row>
    <row r="476" spans="1:19" ht="13.5" customHeight="1" thickBot="1">
      <c r="A476" s="64">
        <f>$A$56</f>
        <v>149</v>
      </c>
      <c r="B476" s="93" t="str">
        <f>IF(B$56="","",B$56)</f>
        <v/>
      </c>
      <c r="C476" s="65" t="str">
        <f>IF($C$56="","",$C$56)</f>
        <v/>
      </c>
      <c r="D476" s="66" t="str">
        <f t="shared" ca="1" si="14"/>
        <v/>
      </c>
      <c r="E476" s="67"/>
      <c r="F476" s="64">
        <f>$F$56</f>
        <v>249</v>
      </c>
      <c r="G476" s="154" t="str">
        <f>IF(G$56="","",G$56)</f>
        <v>B</v>
      </c>
      <c r="H476" s="65" t="str">
        <f>IF($H$56="","",$H$56)</f>
        <v>Spesen Vermögensverwaltung</v>
      </c>
      <c r="I476" s="66">
        <f t="shared" ca="1" si="15"/>
        <v>0</v>
      </c>
    </row>
    <row r="477" spans="1:19" ht="13.5" customHeight="1" thickBot="1">
      <c r="A477" s="64">
        <f>$A$57</f>
        <v>150</v>
      </c>
      <c r="B477" s="154" t="str">
        <f>IF(B$57="","",B$57)</f>
        <v>B</v>
      </c>
      <c r="C477" s="65" t="str">
        <f>IF($C$57="","",$C$57)</f>
        <v>Zinsen, Zinssteuererstattungen</v>
      </c>
      <c r="D477" s="66">
        <f t="shared" ca="1" si="14"/>
        <v>0</v>
      </c>
      <c r="E477" s="67"/>
      <c r="F477" s="64">
        <f>$F$57</f>
        <v>250</v>
      </c>
      <c r="G477" s="154" t="str">
        <f>IF(G$57="","",G$57)</f>
        <v>B</v>
      </c>
      <c r="H477" s="65" t="str">
        <f>IF($H$57="","",$H$57)</f>
        <v>Steuern</v>
      </c>
      <c r="I477" s="66">
        <f t="shared" ca="1" si="15"/>
        <v>0</v>
      </c>
      <c r="L477" s="119">
        <f ca="1">L429+L434+L439+L444+L449+L454+L459+L464+L469+L474</f>
        <v>0</v>
      </c>
      <c r="M477" s="120" t="s">
        <v>111</v>
      </c>
      <c r="N477" s="121">
        <f ca="1">N429+N434+N439+N444+N449+N454+N459+N464+N469+N474</f>
        <v>0</v>
      </c>
      <c r="Q477" s="119">
        <f ca="1">Q429+Q434+Q439+Q444+Q449+Q454+Q459+Q464+Q469+Q474</f>
        <v>0</v>
      </c>
      <c r="R477" s="120" t="s">
        <v>111</v>
      </c>
      <c r="S477" s="121">
        <f ca="1">S429+S434+S439+S444+S449+S454+S459+S464+S469+S474</f>
        <v>0</v>
      </c>
    </row>
    <row r="478" spans="1:19" ht="13.5" customHeight="1" thickTop="1" thickBot="1">
      <c r="A478" s="68" t="s">
        <v>38</v>
      </c>
      <c r="B478" s="91"/>
      <c r="C478" s="69"/>
      <c r="D478" s="70">
        <f ca="1">SUM(D427:D477)</f>
        <v>0</v>
      </c>
      <c r="F478" s="68" t="s">
        <v>39</v>
      </c>
      <c r="G478" s="91"/>
      <c r="H478" s="69"/>
      <c r="I478" s="70">
        <f ca="1">SUM(I427:I477)</f>
        <v>0</v>
      </c>
      <c r="L478" s="117">
        <f ca="1">$D$478</f>
        <v>0</v>
      </c>
      <c r="M478" s="41" t="s">
        <v>110</v>
      </c>
      <c r="N478" s="116">
        <f ca="1">$I$478</f>
        <v>0</v>
      </c>
      <c r="Q478" s="117">
        <f ca="1">$D$478</f>
        <v>0</v>
      </c>
      <c r="R478" s="41" t="s">
        <v>110</v>
      </c>
      <c r="S478" s="116">
        <f ca="1">$I$478</f>
        <v>0</v>
      </c>
    </row>
    <row r="479" spans="1:19" ht="13.5" customHeight="1" thickTop="1">
      <c r="A479" s="71" t="s">
        <v>109</v>
      </c>
      <c r="B479" s="92"/>
      <c r="C479" s="72"/>
      <c r="D479" s="148">
        <f ca="1">Aug.!$E$7</f>
        <v>0</v>
      </c>
      <c r="F479" s="71" t="s">
        <v>109</v>
      </c>
      <c r="G479" s="92"/>
      <c r="H479" s="72"/>
      <c r="I479" s="148">
        <f ca="1">Aug.!$G$7</f>
        <v>0</v>
      </c>
      <c r="L479" s="114">
        <f ca="1">L429+L434+L439+L444+L449+L454+L459+L464+L469+L474+SUMIF($B$427:$B$477,"",$D$427:$D$477)</f>
        <v>0</v>
      </c>
      <c r="M479" s="115" t="s">
        <v>107</v>
      </c>
      <c r="N479" s="114">
        <f ca="1">N429+N434+N439+N444+N449+N454+N459+N464+N469+N474+SUMIF($G$427:$G$477,"",$I$427:$I$477)</f>
        <v>0</v>
      </c>
      <c r="Q479" s="114">
        <f ca="1">Q429+Q434+Q439+Q444+Q449+Q454+Q459+Q464+Q469+Q474+SUMIF($B$427:$B$477,"",$D$427:$D$477)</f>
        <v>0</v>
      </c>
      <c r="R479" s="115" t="s">
        <v>107</v>
      </c>
      <c r="S479" s="114">
        <f ca="1">S429+S434+S439+S444+S449+S454+S459+S464+S469+S474+SUMIF($G$427:$G$477,"",$I$427:$I$477)</f>
        <v>0</v>
      </c>
    </row>
    <row r="480" spans="1:19" ht="13.5" customHeight="1"/>
    <row r="481" spans="1:19" ht="15.95" customHeight="1">
      <c r="A481" s="57" t="str">
        <f>$A$1</f>
        <v>Einnahmen und Ausgaben nach Kategorien</v>
      </c>
      <c r="B481" s="33"/>
      <c r="C481" s="58"/>
      <c r="D481" s="58"/>
      <c r="E481" s="58"/>
      <c r="F481" s="58"/>
      <c r="G481" s="34"/>
      <c r="H481" s="58"/>
      <c r="I481" s="59" t="str">
        <f>CONCATENATE("September ",$A$2)</f>
        <v xml:space="preserve">September </v>
      </c>
      <c r="L481" s="33" t="str">
        <f>CONCATENATE("Kategoriengruppen September ",$A$2)</f>
        <v xml:space="preserve">Kategoriengruppen September </v>
      </c>
      <c r="Q481" s="33" t="str">
        <f>CONCATENATE("Kategoriengruppen September ",$A$2)</f>
        <v xml:space="preserve">Kategoriengruppen September </v>
      </c>
    </row>
    <row r="482" spans="1:19" ht="13.5" customHeight="1"/>
    <row r="483" spans="1:19" ht="13.5" customHeight="1"/>
    <row r="484" spans="1:19" ht="13.5" customHeight="1">
      <c r="A484" s="60" t="s">
        <v>40</v>
      </c>
      <c r="B484" s="39"/>
      <c r="C484" s="60"/>
      <c r="D484" s="60"/>
      <c r="F484" s="60" t="s">
        <v>41</v>
      </c>
      <c r="G484" s="39"/>
      <c r="H484" s="60"/>
      <c r="I484" s="60"/>
      <c r="L484" s="39" t="s">
        <v>84</v>
      </c>
      <c r="M484" s="103" t="s">
        <v>106</v>
      </c>
      <c r="N484" s="39" t="s">
        <v>85</v>
      </c>
      <c r="Q484" s="39" t="s">
        <v>84</v>
      </c>
      <c r="R484" s="103" t="s">
        <v>106</v>
      </c>
      <c r="S484" s="39" t="s">
        <v>85</v>
      </c>
    </row>
    <row r="485" spans="1:19" ht="13.5" customHeight="1" thickBot="1"/>
    <row r="486" spans="1:19" ht="13.5" customHeight="1" thickTop="1" thickBot="1">
      <c r="A486" s="61" t="s">
        <v>24</v>
      </c>
      <c r="B486" s="90" t="s">
        <v>82</v>
      </c>
      <c r="C486" s="62" t="s">
        <v>25</v>
      </c>
      <c r="D486" s="63" t="str">
        <f>$D$6</f>
        <v>CHF</v>
      </c>
      <c r="F486" s="61" t="s">
        <v>24</v>
      </c>
      <c r="G486" s="90" t="s">
        <v>82</v>
      </c>
      <c r="H486" s="62" t="s">
        <v>25</v>
      </c>
      <c r="I486" s="63" t="str">
        <f>$D$6</f>
        <v>CHF</v>
      </c>
    </row>
    <row r="487" spans="1:19" ht="13.5" customHeight="1" thickTop="1">
      <c r="A487" s="64">
        <f>$A$7</f>
        <v>100</v>
      </c>
      <c r="B487" s="153" t="str">
        <f>IF(B$7="","",B$7)</f>
        <v>A</v>
      </c>
      <c r="C487" s="65" t="str">
        <f>IF($C$7="","",$C$7)</f>
        <v>Ladenverkauf</v>
      </c>
      <c r="D487" s="66">
        <f ca="1">IF(C487="","",SUMIF(INDIRECT("Sept.!$D$15:$D$16000"),A487,INDIRECT("Sept.!$E$15:$E$16000")))</f>
        <v>0</v>
      </c>
      <c r="E487" s="67"/>
      <c r="F487" s="64">
        <f>$F$7</f>
        <v>200</v>
      </c>
      <c r="G487" s="153" t="str">
        <f>IF(G$7="","",G$7)</f>
        <v>A</v>
      </c>
      <c r="H487" s="65" t="str">
        <f>IF($H$7="","",$H$7)</f>
        <v>Maschinen und Geräte</v>
      </c>
      <c r="I487" s="66">
        <f ca="1">IF(H487="","",SUMIF(INDIRECT("Sept.!$F$15:$F$16000"),F487,INDIRECT("Sept.!$G$15:$G$16000")))</f>
        <v>0</v>
      </c>
      <c r="L487" s="95" t="s">
        <v>83</v>
      </c>
      <c r="N487" s="95" t="s">
        <v>104</v>
      </c>
      <c r="Q487" s="95" t="s">
        <v>83</v>
      </c>
      <c r="S487" s="95" t="s">
        <v>104</v>
      </c>
    </row>
    <row r="488" spans="1:19" ht="13.5" customHeight="1">
      <c r="A488" s="64">
        <f>$A$8</f>
        <v>101</v>
      </c>
      <c r="B488" s="153" t="str">
        <f>IF(B$8="","",B$8)</f>
        <v>A</v>
      </c>
      <c r="C488" s="65" t="str">
        <f>IF($C$8="","",$C$8)</f>
        <v>Verkauf über Internet</v>
      </c>
      <c r="D488" s="66">
        <f t="shared" ref="D488:D537" ca="1" si="16">IF(C488="","",SUMIF(INDIRECT("Sept.!$D$15:$D$16000"),A488,INDIRECT("Sept.!$E$15:$E$16000")))</f>
        <v>0</v>
      </c>
      <c r="E488" s="67"/>
      <c r="F488" s="64">
        <f>$F$8</f>
        <v>201</v>
      </c>
      <c r="G488" s="153" t="str">
        <f>IF(G$8="","",G$8)</f>
        <v>A</v>
      </c>
      <c r="H488" s="65" t="str">
        <f>IF($H$8="","",$H$8)</f>
        <v>Ladenmiete</v>
      </c>
      <c r="I488" s="66">
        <f t="shared" ref="I488:I537" ca="1" si="17">IF(H488="","",SUMIF(INDIRECT("Sept.!$F$15:$F$16000"),F488,INDIRECT("Sept.!$G$15:$G$16000")))</f>
        <v>0</v>
      </c>
      <c r="L488" s="112" t="str">
        <f>IF(L$8="","",L$8)</f>
        <v>Landwirtschaft</v>
      </c>
      <c r="N488" s="112" t="str">
        <f>IF(N$8="","",N$8)</f>
        <v>Landwirtschaft</v>
      </c>
      <c r="Q488" s="112" t="str">
        <f>IF(Q$8="","",Q$8)</f>
        <v/>
      </c>
      <c r="S488" s="112" t="str">
        <f>IF(S$8="","",S$8)</f>
        <v/>
      </c>
    </row>
    <row r="489" spans="1:19" ht="13.5" customHeight="1" thickBot="1">
      <c r="A489" s="64">
        <f>$A$9</f>
        <v>102</v>
      </c>
      <c r="B489" s="93" t="str">
        <f>IF(B$9="","",B$9)</f>
        <v/>
      </c>
      <c r="C489" s="65" t="str">
        <f>IF($C$9="","",$C$9)</f>
        <v/>
      </c>
      <c r="D489" s="66" t="str">
        <f t="shared" ca="1" si="16"/>
        <v/>
      </c>
      <c r="E489" s="67"/>
      <c r="F489" s="64">
        <f>$F$9</f>
        <v>202</v>
      </c>
      <c r="G489" s="153" t="str">
        <f>IF(G$9="","",G$9)</f>
        <v>A</v>
      </c>
      <c r="H489" s="65" t="str">
        <f>IF($H$9="","",$H$9)</f>
        <v>Werbeausgaben</v>
      </c>
      <c r="I489" s="66">
        <f t="shared" ca="1" si="17"/>
        <v>0</v>
      </c>
      <c r="L489" s="105">
        <f ca="1">SUMIF($B$487:$B$537,"A",$D$487:$D$537)</f>
        <v>0</v>
      </c>
      <c r="M489" s="104">
        <f ca="1">L489+N489</f>
        <v>0</v>
      </c>
      <c r="N489" s="106">
        <f ca="1">SUMIF($G$487:$G$537,"A",$I$487:$I$537)</f>
        <v>0</v>
      </c>
      <c r="Q489" s="105">
        <f ca="1">SUMIF($B$487:$B$537,"A",$D$487:$D$537)</f>
        <v>0</v>
      </c>
      <c r="R489" s="104">
        <f ca="1">Q489+S489</f>
        <v>0</v>
      </c>
      <c r="S489" s="106">
        <f ca="1">SUMIF($G$487:$G$537,"A",$I$487:$I$537)</f>
        <v>0</v>
      </c>
    </row>
    <row r="490" spans="1:19" ht="13.5" customHeight="1">
      <c r="A490" s="64">
        <f>$A$10</f>
        <v>103</v>
      </c>
      <c r="B490" s="93" t="str">
        <f>IF(B$10="","",B$10)</f>
        <v/>
      </c>
      <c r="C490" s="65" t="str">
        <f>IF($C$10="","",$C$10)</f>
        <v/>
      </c>
      <c r="D490" s="66" t="str">
        <f t="shared" ca="1" si="16"/>
        <v/>
      </c>
      <c r="E490" s="67"/>
      <c r="F490" s="64">
        <f>$F$10</f>
        <v>203</v>
      </c>
      <c r="G490" s="153" t="str">
        <f>IF(G$10="","",G$10)</f>
        <v>A</v>
      </c>
      <c r="H490" s="65" t="str">
        <f>IF($H$10="","",$H$10)</f>
        <v>Löhne</v>
      </c>
      <c r="I490" s="66">
        <f t="shared" ca="1" si="17"/>
        <v>0</v>
      </c>
    </row>
    <row r="491" spans="1:19" ht="13.5" customHeight="1" thickBot="1">
      <c r="A491" s="64">
        <f>$A$11</f>
        <v>104</v>
      </c>
      <c r="B491" s="93" t="str">
        <f>IF(B$11="","",B$11)</f>
        <v/>
      </c>
      <c r="C491" s="65" t="str">
        <f>IF($C$11="","",$C$11)</f>
        <v/>
      </c>
      <c r="D491" s="66" t="str">
        <f t="shared" ca="1" si="16"/>
        <v/>
      </c>
      <c r="E491" s="67"/>
      <c r="F491" s="64">
        <f>$F$11</f>
        <v>204</v>
      </c>
      <c r="G491" s="93" t="str">
        <f>IF(G$11="","",G$11)</f>
        <v/>
      </c>
      <c r="H491" s="65" t="str">
        <f>IF($H$11="","",$H$11)</f>
        <v/>
      </c>
      <c r="I491" s="66" t="str">
        <f t="shared" ca="1" si="17"/>
        <v/>
      </c>
    </row>
    <row r="492" spans="1:19" ht="13.5" customHeight="1">
      <c r="A492" s="64">
        <f>$A$12</f>
        <v>105</v>
      </c>
      <c r="B492" s="93" t="str">
        <f>IF(B$12="","",B$12)</f>
        <v/>
      </c>
      <c r="C492" s="65" t="str">
        <f>IF($C$12="","",$C$12)</f>
        <v/>
      </c>
      <c r="D492" s="66" t="str">
        <f t="shared" ca="1" si="16"/>
        <v/>
      </c>
      <c r="E492" s="67"/>
      <c r="F492" s="64">
        <f>$F$12</f>
        <v>205</v>
      </c>
      <c r="G492" s="93" t="str">
        <f>IF(G$12="","",G$12)</f>
        <v/>
      </c>
      <c r="H492" s="65" t="str">
        <f>IF($H$12="","",$H$12)</f>
        <v/>
      </c>
      <c r="I492" s="66" t="str">
        <f t="shared" ca="1" si="17"/>
        <v/>
      </c>
      <c r="L492" s="96" t="s">
        <v>86</v>
      </c>
      <c r="N492" s="96" t="s">
        <v>95</v>
      </c>
      <c r="Q492" s="96" t="s">
        <v>86</v>
      </c>
      <c r="S492" s="96" t="s">
        <v>95</v>
      </c>
    </row>
    <row r="493" spans="1:19" ht="13.5" customHeight="1">
      <c r="A493" s="64">
        <f>$A$13</f>
        <v>106</v>
      </c>
      <c r="B493" s="93" t="str">
        <f>IF(B$13="","",B$13)</f>
        <v/>
      </c>
      <c r="C493" s="65" t="str">
        <f>IF($C$13="","",$C$13)</f>
        <v/>
      </c>
      <c r="D493" s="66" t="str">
        <f t="shared" ca="1" si="16"/>
        <v/>
      </c>
      <c r="E493" s="67"/>
      <c r="F493" s="64">
        <f>$F$13</f>
        <v>206</v>
      </c>
      <c r="G493" s="93" t="str">
        <f>IF(G$13="","",G$13)</f>
        <v/>
      </c>
      <c r="H493" s="65" t="str">
        <f>IF($H$13="","",$H$13)</f>
        <v/>
      </c>
      <c r="I493" s="66" t="str">
        <f t="shared" ca="1" si="17"/>
        <v/>
      </c>
      <c r="L493" s="112" t="str">
        <f>IF(L$13="","",L$13)</f>
        <v>Privat</v>
      </c>
      <c r="N493" s="112" t="str">
        <f>IF(N$13="","",N$13)</f>
        <v>Privat</v>
      </c>
      <c r="Q493" s="112" t="str">
        <f>IF(Q$13="","",Q$13)</f>
        <v/>
      </c>
      <c r="S493" s="112" t="str">
        <f>IF(S$13="","",S$13)</f>
        <v/>
      </c>
    </row>
    <row r="494" spans="1:19" ht="13.5" customHeight="1" thickBot="1">
      <c r="A494" s="64">
        <f>$A$14</f>
        <v>107</v>
      </c>
      <c r="B494" s="93" t="str">
        <f>IF(B$14="","",B$14)</f>
        <v/>
      </c>
      <c r="C494" s="65" t="str">
        <f>IF($C$14="","",$C$14)</f>
        <v/>
      </c>
      <c r="D494" s="66" t="str">
        <f t="shared" ca="1" si="16"/>
        <v/>
      </c>
      <c r="E494" s="67"/>
      <c r="F494" s="64">
        <f>$F$14</f>
        <v>207</v>
      </c>
      <c r="G494" s="93" t="str">
        <f>IF(G$14="","",G$14)</f>
        <v/>
      </c>
      <c r="H494" s="65" t="str">
        <f>IF($H$14="","",$H$14)</f>
        <v/>
      </c>
      <c r="I494" s="66" t="str">
        <f t="shared" ca="1" si="17"/>
        <v/>
      </c>
      <c r="L494" s="105">
        <f ca="1">SUMIF($B$487:$B$537,"B",$D$487:$D$537)</f>
        <v>0</v>
      </c>
      <c r="M494" s="104">
        <f ca="1">L494+N494</f>
        <v>0</v>
      </c>
      <c r="N494" s="106">
        <f ca="1">SUMIF($G$487:$G$537,"B",$I$487:$I$537)</f>
        <v>0</v>
      </c>
      <c r="Q494" s="105">
        <f ca="1">SUMIF($B$487:$B$537,"B",$D$487:$D$537)</f>
        <v>0</v>
      </c>
      <c r="R494" s="104">
        <f ca="1">Q494+S494</f>
        <v>0</v>
      </c>
      <c r="S494" s="106">
        <f ca="1">SUMIF($G$487:$G$537,"B",$I$487:$I$537)</f>
        <v>0</v>
      </c>
    </row>
    <row r="495" spans="1:19" ht="13.5" customHeight="1">
      <c r="A495" s="64">
        <f>$A$15</f>
        <v>108</v>
      </c>
      <c r="B495" s="93" t="str">
        <f>IF(B$15="","",B$15)</f>
        <v/>
      </c>
      <c r="C495" s="65" t="str">
        <f>IF($C$15="","",$C$15)</f>
        <v/>
      </c>
      <c r="D495" s="66" t="str">
        <f t="shared" ca="1" si="16"/>
        <v/>
      </c>
      <c r="E495" s="67"/>
      <c r="F495" s="64">
        <f>$F$15</f>
        <v>208</v>
      </c>
      <c r="G495" s="93" t="str">
        <f>IF(G$15="","",G$15)</f>
        <v/>
      </c>
      <c r="H495" s="65" t="str">
        <f>IF($H$15="","",$H$15)</f>
        <v/>
      </c>
      <c r="I495" s="66" t="str">
        <f t="shared" ca="1" si="17"/>
        <v/>
      </c>
    </row>
    <row r="496" spans="1:19" ht="13.5" customHeight="1" thickBot="1">
      <c r="A496" s="64">
        <f>$A$16</f>
        <v>109</v>
      </c>
      <c r="B496" s="93" t="str">
        <f>IF(B$16="","",B$16)</f>
        <v/>
      </c>
      <c r="C496" s="65" t="str">
        <f>IF($C$16="","",$C$16)</f>
        <v/>
      </c>
      <c r="D496" s="66" t="str">
        <f t="shared" ca="1" si="16"/>
        <v/>
      </c>
      <c r="E496" s="67"/>
      <c r="F496" s="64">
        <f>$F$16</f>
        <v>209</v>
      </c>
      <c r="G496" s="93" t="str">
        <f>IF(G$16="","",G$16)</f>
        <v/>
      </c>
      <c r="H496" s="65" t="str">
        <f>IF($H$16="","",$H$16)</f>
        <v/>
      </c>
      <c r="I496" s="66" t="str">
        <f t="shared" ca="1" si="17"/>
        <v/>
      </c>
    </row>
    <row r="497" spans="1:19" ht="13.5" customHeight="1">
      <c r="A497" s="64">
        <f>$A$17</f>
        <v>110</v>
      </c>
      <c r="B497" s="93" t="str">
        <f>IF(B$17="","",B$17)</f>
        <v/>
      </c>
      <c r="C497" s="65" t="str">
        <f>IF($C$17="","",$C$17)</f>
        <v/>
      </c>
      <c r="D497" s="66" t="str">
        <f t="shared" ca="1" si="16"/>
        <v/>
      </c>
      <c r="E497" s="67"/>
      <c r="F497" s="64">
        <f>$F$17</f>
        <v>210</v>
      </c>
      <c r="G497" s="93" t="str">
        <f>IF(G$17="","",G$17)</f>
        <v/>
      </c>
      <c r="H497" s="65" t="str">
        <f>IF($H$17="","",$H$17)</f>
        <v/>
      </c>
      <c r="I497" s="66" t="str">
        <f t="shared" ca="1" si="17"/>
        <v/>
      </c>
      <c r="Q497" s="109" t="s">
        <v>87</v>
      </c>
      <c r="S497" s="109" t="s">
        <v>96</v>
      </c>
    </row>
    <row r="498" spans="1:19" ht="13.5" customHeight="1">
      <c r="A498" s="64">
        <f>$A$18</f>
        <v>111</v>
      </c>
      <c r="B498" s="93" t="str">
        <f>IF(B$18="","",B$18)</f>
        <v/>
      </c>
      <c r="C498" s="65" t="str">
        <f>IF($C$18="","",$C$18)</f>
        <v/>
      </c>
      <c r="D498" s="66" t="str">
        <f t="shared" ca="1" si="16"/>
        <v/>
      </c>
      <c r="E498" s="67"/>
      <c r="F498" s="64">
        <f>$F$18</f>
        <v>211</v>
      </c>
      <c r="G498" s="93" t="str">
        <f>IF(G$18="","",G$18)</f>
        <v/>
      </c>
      <c r="H498" s="65" t="str">
        <f>IF($H$18="","",$H$18)</f>
        <v/>
      </c>
      <c r="I498" s="66" t="str">
        <f t="shared" ca="1" si="17"/>
        <v/>
      </c>
      <c r="Q498" s="112" t="str">
        <f>IF(Q$18="","",Q$18)</f>
        <v/>
      </c>
      <c r="S498" s="112" t="str">
        <f>IF(S$18="","",S$18)</f>
        <v/>
      </c>
    </row>
    <row r="499" spans="1:19" ht="13.5" customHeight="1" thickBot="1">
      <c r="A499" s="64">
        <f>$A$19</f>
        <v>112</v>
      </c>
      <c r="B499" s="93" t="str">
        <f>IF(B$19="","",B$19)</f>
        <v/>
      </c>
      <c r="C499" s="65" t="str">
        <f>IF($C$19="","",$C$19)</f>
        <v/>
      </c>
      <c r="D499" s="66" t="str">
        <f t="shared" ca="1" si="16"/>
        <v/>
      </c>
      <c r="E499" s="67"/>
      <c r="F499" s="64">
        <f>$F$19</f>
        <v>212</v>
      </c>
      <c r="G499" s="93" t="str">
        <f>IF(G$19="","",G$19)</f>
        <v/>
      </c>
      <c r="H499" s="65" t="str">
        <f>IF($H$19="","",$H$19)</f>
        <v/>
      </c>
      <c r="I499" s="66" t="str">
        <f t="shared" ca="1" si="17"/>
        <v/>
      </c>
      <c r="Q499" s="105">
        <f>SUMIF($B$487:$B$537,"C",$D$487:$D$537)</f>
        <v>0</v>
      </c>
      <c r="R499" s="104">
        <f>Q499+S499</f>
        <v>0</v>
      </c>
      <c r="S499" s="106">
        <f>SUMIF($G$487:$G$537,"C",$I$487:$I$537)</f>
        <v>0</v>
      </c>
    </row>
    <row r="500" spans="1:19" ht="13.5" customHeight="1">
      <c r="A500" s="64">
        <f>$A$20</f>
        <v>113</v>
      </c>
      <c r="B500" s="93" t="str">
        <f>IF(B$20="","",B$20)</f>
        <v/>
      </c>
      <c r="C500" s="65" t="str">
        <f>IF($C$20="","",$C$20)</f>
        <v/>
      </c>
      <c r="D500" s="66" t="str">
        <f t="shared" ca="1" si="16"/>
        <v/>
      </c>
      <c r="E500" s="67"/>
      <c r="F500" s="64">
        <f>$F$20</f>
        <v>213</v>
      </c>
      <c r="G500" s="93" t="str">
        <f>IF(G$20="","",G$20)</f>
        <v/>
      </c>
      <c r="H500" s="65" t="str">
        <f>IF($H$20="","",$H$20)</f>
        <v/>
      </c>
      <c r="I500" s="66" t="str">
        <f t="shared" ca="1" si="17"/>
        <v/>
      </c>
    </row>
    <row r="501" spans="1:19" ht="13.5" customHeight="1" thickBot="1">
      <c r="A501" s="64">
        <f>$A$21</f>
        <v>114</v>
      </c>
      <c r="B501" s="93" t="str">
        <f>IF(B$21="","",B$21)</f>
        <v/>
      </c>
      <c r="C501" s="65" t="str">
        <f>IF($C$21="","",$C$21)</f>
        <v/>
      </c>
      <c r="D501" s="66" t="str">
        <f t="shared" ca="1" si="16"/>
        <v/>
      </c>
      <c r="E501" s="67"/>
      <c r="F501" s="64">
        <f>$F$21</f>
        <v>214</v>
      </c>
      <c r="G501" s="93" t="str">
        <f>IF(G$21="","",G$21)</f>
        <v/>
      </c>
      <c r="H501" s="65" t="str">
        <f>IF($H$21="","",$H$21)</f>
        <v/>
      </c>
      <c r="I501" s="66" t="str">
        <f t="shared" ca="1" si="17"/>
        <v/>
      </c>
    </row>
    <row r="502" spans="1:19" ht="13.5" customHeight="1">
      <c r="A502" s="64">
        <f>$A$22</f>
        <v>115</v>
      </c>
      <c r="B502" s="93" t="str">
        <f>IF(B$22="","",B$22)</f>
        <v/>
      </c>
      <c r="C502" s="65" t="str">
        <f>IF($C$22="","",$C$22)</f>
        <v/>
      </c>
      <c r="D502" s="66" t="str">
        <f t="shared" ca="1" si="16"/>
        <v/>
      </c>
      <c r="E502" s="67"/>
      <c r="F502" s="64">
        <f>$F$22</f>
        <v>215</v>
      </c>
      <c r="G502" s="93" t="str">
        <f>IF(G$22="","",G$22)</f>
        <v/>
      </c>
      <c r="H502" s="65" t="str">
        <f>IF($H$22="","",$H$22)</f>
        <v/>
      </c>
      <c r="I502" s="66" t="str">
        <f t="shared" ca="1" si="17"/>
        <v/>
      </c>
      <c r="Q502" s="97" t="s">
        <v>88</v>
      </c>
      <c r="S502" s="97" t="s">
        <v>97</v>
      </c>
    </row>
    <row r="503" spans="1:19" ht="13.5" customHeight="1">
      <c r="A503" s="64">
        <f>$A$23</f>
        <v>116</v>
      </c>
      <c r="B503" s="93" t="str">
        <f>IF(B$23="","",B$23)</f>
        <v/>
      </c>
      <c r="C503" s="65" t="str">
        <f>IF($C$23="","",$C$23)</f>
        <v/>
      </c>
      <c r="D503" s="66" t="str">
        <f t="shared" ca="1" si="16"/>
        <v/>
      </c>
      <c r="E503" s="67"/>
      <c r="F503" s="64">
        <f>$F$23</f>
        <v>216</v>
      </c>
      <c r="G503" s="93" t="str">
        <f>IF(G$23="","",G$23)</f>
        <v/>
      </c>
      <c r="H503" s="65" t="str">
        <f>IF($H$23="","",$H$23)</f>
        <v/>
      </c>
      <c r="I503" s="66" t="str">
        <f t="shared" ca="1" si="17"/>
        <v/>
      </c>
      <c r="Q503" s="112" t="str">
        <f>IF(Q$23="","",Q$23)</f>
        <v/>
      </c>
      <c r="S503" s="112" t="str">
        <f>IF(S$23="","",S$23)</f>
        <v/>
      </c>
    </row>
    <row r="504" spans="1:19" ht="13.5" customHeight="1" thickBot="1">
      <c r="A504" s="64">
        <f>$A$24</f>
        <v>117</v>
      </c>
      <c r="B504" s="93" t="str">
        <f>IF(B$24="","",B$24)</f>
        <v/>
      </c>
      <c r="C504" s="65" t="str">
        <f>IF($C$24="","",$C$24)</f>
        <v/>
      </c>
      <c r="D504" s="66" t="str">
        <f t="shared" ca="1" si="16"/>
        <v/>
      </c>
      <c r="E504" s="67"/>
      <c r="F504" s="64">
        <f>$F$24</f>
        <v>217</v>
      </c>
      <c r="G504" s="93" t="str">
        <f>IF(G$24="","",G$24)</f>
        <v/>
      </c>
      <c r="H504" s="65" t="str">
        <f>IF($H$24="","",$H$24)</f>
        <v/>
      </c>
      <c r="I504" s="66" t="str">
        <f t="shared" ca="1" si="17"/>
        <v/>
      </c>
      <c r="Q504" s="105">
        <f>SUMIF($B$487:$B$537,"D",$D$487:$D$537)</f>
        <v>0</v>
      </c>
      <c r="R504" s="104">
        <f>Q504+S504</f>
        <v>0</v>
      </c>
      <c r="S504" s="106">
        <f>SUMIF($G$487:$G$537,"D",$I$487:$I$537)</f>
        <v>0</v>
      </c>
    </row>
    <row r="505" spans="1:19" ht="13.5" customHeight="1">
      <c r="A505" s="64">
        <f>$A$25</f>
        <v>118</v>
      </c>
      <c r="B505" s="93" t="str">
        <f>IF(B$25="","",B$25)</f>
        <v/>
      </c>
      <c r="C505" s="65" t="str">
        <f>IF($C$25="","",$C$25)</f>
        <v/>
      </c>
      <c r="D505" s="66" t="str">
        <f t="shared" ca="1" si="16"/>
        <v/>
      </c>
      <c r="E505" s="67"/>
      <c r="F505" s="64">
        <f>$F$25</f>
        <v>218</v>
      </c>
      <c r="G505" s="93" t="str">
        <f>IF(G$25="","",G$25)</f>
        <v/>
      </c>
      <c r="H505" s="65" t="str">
        <f>IF($H$25="","",$H$25)</f>
        <v/>
      </c>
      <c r="I505" s="66" t="str">
        <f t="shared" ca="1" si="17"/>
        <v/>
      </c>
    </row>
    <row r="506" spans="1:19" ht="13.5" customHeight="1" thickBot="1">
      <c r="A506" s="64">
        <f>$A$26</f>
        <v>119</v>
      </c>
      <c r="B506" s="93" t="str">
        <f>IF(B$26="","",B$26)</f>
        <v/>
      </c>
      <c r="C506" s="65" t="str">
        <f>IF($C$26="","",$C$26)</f>
        <v/>
      </c>
      <c r="D506" s="66" t="str">
        <f t="shared" ca="1" si="16"/>
        <v/>
      </c>
      <c r="E506" s="67"/>
      <c r="F506" s="64">
        <f>$F$26</f>
        <v>219</v>
      </c>
      <c r="G506" s="93" t="str">
        <f>IF(G$26="","",G$26)</f>
        <v/>
      </c>
      <c r="H506" s="65" t="str">
        <f>IF($H$26="","",$H$26)</f>
        <v/>
      </c>
      <c r="I506" s="66" t="str">
        <f t="shared" ca="1" si="17"/>
        <v/>
      </c>
    </row>
    <row r="507" spans="1:19" ht="13.5" customHeight="1">
      <c r="A507" s="64">
        <f>$A$27</f>
        <v>120</v>
      </c>
      <c r="B507" s="93" t="str">
        <f>IF(B$27="","",B$27)</f>
        <v/>
      </c>
      <c r="C507" s="65" t="str">
        <f>IF($C$27="","",$C$27)</f>
        <v/>
      </c>
      <c r="D507" s="66" t="str">
        <f t="shared" ca="1" si="16"/>
        <v/>
      </c>
      <c r="E507" s="67"/>
      <c r="F507" s="64">
        <f>$F$27</f>
        <v>220</v>
      </c>
      <c r="G507" s="93" t="str">
        <f>IF(G$27="","",G$27)</f>
        <v/>
      </c>
      <c r="H507" s="65" t="str">
        <f>IF($H$27="","",$H$27)</f>
        <v/>
      </c>
      <c r="I507" s="66" t="str">
        <f t="shared" ca="1" si="17"/>
        <v/>
      </c>
      <c r="Q507" s="110" t="s">
        <v>89</v>
      </c>
      <c r="S507" s="110" t="s">
        <v>98</v>
      </c>
    </row>
    <row r="508" spans="1:19" ht="13.5" customHeight="1">
      <c r="A508" s="64">
        <f>$A$28</f>
        <v>121</v>
      </c>
      <c r="B508" s="93" t="str">
        <f>IF(B$28="","",B$28)</f>
        <v/>
      </c>
      <c r="C508" s="65" t="str">
        <f>IF($C$28="","",$C$28)</f>
        <v/>
      </c>
      <c r="D508" s="66" t="str">
        <f t="shared" ca="1" si="16"/>
        <v/>
      </c>
      <c r="E508" s="67"/>
      <c r="F508" s="64">
        <f>$F$28</f>
        <v>221</v>
      </c>
      <c r="G508" s="93" t="str">
        <f>IF(G$28="","",G$28)</f>
        <v/>
      </c>
      <c r="H508" s="65" t="str">
        <f>IF($H$28="","",$H$28)</f>
        <v/>
      </c>
      <c r="I508" s="66" t="str">
        <f t="shared" ca="1" si="17"/>
        <v/>
      </c>
      <c r="Q508" s="112" t="str">
        <f>IF(Q$28="","",Q$28)</f>
        <v/>
      </c>
      <c r="S508" s="112" t="str">
        <f>IF(S$28="","",S$28)</f>
        <v/>
      </c>
    </row>
    <row r="509" spans="1:19" ht="13.5" customHeight="1" thickBot="1">
      <c r="A509" s="64">
        <f>$A$29</f>
        <v>122</v>
      </c>
      <c r="B509" s="93" t="str">
        <f>IF(B$29="","",B$29)</f>
        <v/>
      </c>
      <c r="C509" s="65" t="str">
        <f>IF($C$29="","",$C$29)</f>
        <v/>
      </c>
      <c r="D509" s="66" t="str">
        <f t="shared" ca="1" si="16"/>
        <v/>
      </c>
      <c r="E509" s="67"/>
      <c r="F509" s="64">
        <f>$F$29</f>
        <v>222</v>
      </c>
      <c r="G509" s="93" t="str">
        <f>IF(G$29="","",G$29)</f>
        <v/>
      </c>
      <c r="H509" s="65" t="str">
        <f>IF($H$29="","",$H$29)</f>
        <v/>
      </c>
      <c r="I509" s="66" t="str">
        <f t="shared" ca="1" si="17"/>
        <v/>
      </c>
      <c r="Q509" s="105">
        <f>SUMIF($B$487:$B$537,"E",$D$487:$D$537)</f>
        <v>0</v>
      </c>
      <c r="R509" s="104">
        <f>Q509+S509</f>
        <v>0</v>
      </c>
      <c r="S509" s="106">
        <f>SUMIF($G$487:$G$537,"E",$I$487:$I$537)</f>
        <v>0</v>
      </c>
    </row>
    <row r="510" spans="1:19" ht="13.5" customHeight="1">
      <c r="A510" s="64">
        <f>$A$30</f>
        <v>123</v>
      </c>
      <c r="B510" s="93" t="str">
        <f>IF(B$30="","",B$30)</f>
        <v/>
      </c>
      <c r="C510" s="65" t="str">
        <f>IF($C$30="","",$C$30)</f>
        <v/>
      </c>
      <c r="D510" s="66" t="str">
        <f t="shared" ca="1" si="16"/>
        <v/>
      </c>
      <c r="E510" s="67"/>
      <c r="F510" s="64">
        <f>$F$30</f>
        <v>223</v>
      </c>
      <c r="G510" s="93" t="str">
        <f>IF(G$30="","",G$30)</f>
        <v/>
      </c>
      <c r="H510" s="65" t="str">
        <f>IF($H$30="","",$H$30)</f>
        <v/>
      </c>
      <c r="I510" s="66" t="str">
        <f t="shared" ca="1" si="17"/>
        <v/>
      </c>
    </row>
    <row r="511" spans="1:19" ht="13.5" customHeight="1" thickBot="1">
      <c r="A511" s="64">
        <f>$A$31</f>
        <v>124</v>
      </c>
      <c r="B511" s="93" t="str">
        <f>IF(B$31="","",B$31)</f>
        <v/>
      </c>
      <c r="C511" s="65" t="str">
        <f>IF($C$31="","",$C$31)</f>
        <v/>
      </c>
      <c r="D511" s="66" t="str">
        <f t="shared" ca="1" si="16"/>
        <v/>
      </c>
      <c r="E511" s="67"/>
      <c r="F511" s="64">
        <f>$F$31</f>
        <v>224</v>
      </c>
      <c r="G511" s="93" t="str">
        <f>IF(G$31="","",G$31)</f>
        <v/>
      </c>
      <c r="H511" s="65" t="str">
        <f>IF($H$31="","",$H$31)</f>
        <v/>
      </c>
      <c r="I511" s="66" t="str">
        <f t="shared" ca="1" si="17"/>
        <v/>
      </c>
    </row>
    <row r="512" spans="1:19" ht="13.5" customHeight="1">
      <c r="A512" s="64">
        <f>$A$32</f>
        <v>125</v>
      </c>
      <c r="B512" s="154" t="str">
        <f>IF(B$32="","",B$32)</f>
        <v>B</v>
      </c>
      <c r="C512" s="65" t="str">
        <f>IF($C$32="","",$C$32)</f>
        <v>Lohn Nebenerwerb</v>
      </c>
      <c r="D512" s="66">
        <f t="shared" ca="1" si="16"/>
        <v>0</v>
      </c>
      <c r="E512" s="67"/>
      <c r="F512" s="64">
        <f>$F$32</f>
        <v>225</v>
      </c>
      <c r="G512" s="154" t="str">
        <f>IF(G$32="","",G$32)</f>
        <v>B</v>
      </c>
      <c r="H512" s="65" t="str">
        <f>IF($H$32="","",$H$32)</f>
        <v>Nahrung, Kleider, Körperpflege</v>
      </c>
      <c r="I512" s="66">
        <f t="shared" ca="1" si="17"/>
        <v>0</v>
      </c>
      <c r="Q512" s="98" t="s">
        <v>90</v>
      </c>
      <c r="S512" s="98" t="s">
        <v>99</v>
      </c>
    </row>
    <row r="513" spans="1:19" ht="13.5" customHeight="1">
      <c r="A513" s="64">
        <f>$A$33</f>
        <v>126</v>
      </c>
      <c r="B513" s="93" t="str">
        <f>IF(B$33="","",B$33)</f>
        <v/>
      </c>
      <c r="C513" s="65" t="str">
        <f>IF($C$33="","",$C$33)</f>
        <v/>
      </c>
      <c r="D513" s="66" t="str">
        <f t="shared" ca="1" si="16"/>
        <v/>
      </c>
      <c r="E513" s="67"/>
      <c r="F513" s="64">
        <f>$F$33</f>
        <v>226</v>
      </c>
      <c r="G513" s="154" t="str">
        <f>IF(G$33="","",G$33)</f>
        <v>B</v>
      </c>
      <c r="H513" s="65" t="str">
        <f>IF($H$33="","",$H$33)</f>
        <v>Autokosten</v>
      </c>
      <c r="I513" s="66">
        <f t="shared" ca="1" si="17"/>
        <v>0</v>
      </c>
      <c r="Q513" s="112" t="str">
        <f>IF(Q$33="","",Q$33)</f>
        <v/>
      </c>
      <c r="S513" s="112" t="str">
        <f>IF(S$33="","",S$33)</f>
        <v/>
      </c>
    </row>
    <row r="514" spans="1:19" ht="13.5" customHeight="1" thickBot="1">
      <c r="A514" s="64">
        <f>$A$34</f>
        <v>127</v>
      </c>
      <c r="B514" s="93" t="str">
        <f>IF(B$34="","",B$34)</f>
        <v/>
      </c>
      <c r="C514" s="65" t="str">
        <f>IF($C$34="","",$C$34)</f>
        <v/>
      </c>
      <c r="D514" s="66" t="str">
        <f t="shared" ca="1" si="16"/>
        <v/>
      </c>
      <c r="E514" s="67"/>
      <c r="F514" s="64">
        <f>$F$34</f>
        <v>227</v>
      </c>
      <c r="G514" s="154" t="str">
        <f>IF(G$34="","",G$34)</f>
        <v>B</v>
      </c>
      <c r="H514" s="65" t="str">
        <f>IF($H$34="","",$H$34)</f>
        <v>Gesundheit, Krankenkasse, Zahnarzt</v>
      </c>
      <c r="I514" s="66">
        <f t="shared" ca="1" si="17"/>
        <v>0</v>
      </c>
      <c r="Q514" s="105">
        <f>SUMIF($B$487:$B$537,"F",$D$487:$D$537)</f>
        <v>0</v>
      </c>
      <c r="R514" s="104">
        <f>Q514+S514</f>
        <v>0</v>
      </c>
      <c r="S514" s="106">
        <f>SUMIF($G$487:$G$537,"F",$I$487:$I$537)</f>
        <v>0</v>
      </c>
    </row>
    <row r="515" spans="1:19" ht="13.5" customHeight="1">
      <c r="A515" s="64">
        <f>$A$35</f>
        <v>128</v>
      </c>
      <c r="B515" s="93" t="str">
        <f>IF(B$35="","",B$35)</f>
        <v/>
      </c>
      <c r="C515" s="65" t="str">
        <f>IF($C$35="","",$C$35)</f>
        <v/>
      </c>
      <c r="D515" s="66" t="str">
        <f t="shared" ca="1" si="16"/>
        <v/>
      </c>
      <c r="E515" s="67"/>
      <c r="F515" s="64">
        <f>$F$35</f>
        <v>228</v>
      </c>
      <c r="G515" s="154" t="str">
        <f>IF(G$35="","",G$35)</f>
        <v>B</v>
      </c>
      <c r="H515" s="65" t="str">
        <f>IF($H$35="","",$H$35)</f>
        <v>Versicherungen allgemein</v>
      </c>
      <c r="I515" s="66">
        <f t="shared" ca="1" si="17"/>
        <v>0</v>
      </c>
    </row>
    <row r="516" spans="1:19" ht="13.5" customHeight="1" thickBot="1">
      <c r="A516" s="64">
        <f>$A$36</f>
        <v>129</v>
      </c>
      <c r="B516" s="93" t="str">
        <f>IF(B$36="","",B$36)</f>
        <v/>
      </c>
      <c r="C516" s="65" t="str">
        <f>IF($C$36="","",$C$36)</f>
        <v/>
      </c>
      <c r="D516" s="66" t="str">
        <f t="shared" ca="1" si="16"/>
        <v/>
      </c>
      <c r="E516" s="67"/>
      <c r="F516" s="64">
        <f>$F$36</f>
        <v>229</v>
      </c>
      <c r="G516" s="154" t="str">
        <f>IF(G$36="","",G$36)</f>
        <v>B</v>
      </c>
      <c r="H516" s="65" t="str">
        <f>IF($H$36="","",$H$36)</f>
        <v>Büro, Computer, Fotos</v>
      </c>
      <c r="I516" s="66">
        <f t="shared" ca="1" si="17"/>
        <v>0</v>
      </c>
    </row>
    <row r="517" spans="1:19" ht="13.5" customHeight="1">
      <c r="A517" s="64">
        <f>$A$37</f>
        <v>130</v>
      </c>
      <c r="B517" s="93" t="str">
        <f>IF(B$37="","",B$37)</f>
        <v/>
      </c>
      <c r="C517" s="65" t="str">
        <f>IF($C$37="","",$C$37)</f>
        <v/>
      </c>
      <c r="D517" s="66" t="str">
        <f t="shared" ca="1" si="16"/>
        <v/>
      </c>
      <c r="E517" s="67"/>
      <c r="F517" s="64">
        <f>$F$37</f>
        <v>230</v>
      </c>
      <c r="G517" s="154" t="str">
        <f>IF(G$37="","",G$37)</f>
        <v>B</v>
      </c>
      <c r="H517" s="65" t="str">
        <f>IF($H$37="","",$H$37)</f>
        <v>Ferien, Ausflüge</v>
      </c>
      <c r="I517" s="66">
        <f t="shared" ca="1" si="17"/>
        <v>0</v>
      </c>
      <c r="Q517" s="99" t="s">
        <v>91</v>
      </c>
      <c r="S517" s="99" t="s">
        <v>100</v>
      </c>
    </row>
    <row r="518" spans="1:19" ht="13.5" customHeight="1">
      <c r="A518" s="64">
        <f>$A$38</f>
        <v>131</v>
      </c>
      <c r="B518" s="93" t="str">
        <f>IF(B$38="","",B$38)</f>
        <v/>
      </c>
      <c r="C518" s="65" t="str">
        <f>IF($C$38="","",$C$38)</f>
        <v/>
      </c>
      <c r="D518" s="66" t="str">
        <f t="shared" ca="1" si="16"/>
        <v/>
      </c>
      <c r="E518" s="67"/>
      <c r="F518" s="64">
        <f>$F$38</f>
        <v>231</v>
      </c>
      <c r="G518" s="154" t="str">
        <f>IF(G$38="","",G$38)</f>
        <v>B</v>
      </c>
      <c r="H518" s="65" t="str">
        <f>IF($H$38="","",$H$38)</f>
        <v>Freizeit, Vergnügen, Unterhaltung</v>
      </c>
      <c r="I518" s="66">
        <f t="shared" ca="1" si="17"/>
        <v>0</v>
      </c>
      <c r="Q518" s="112" t="str">
        <f>IF(Q$38="","",Q$38)</f>
        <v/>
      </c>
      <c r="S518" s="112" t="str">
        <f>IF(S$38="","",S$38)</f>
        <v/>
      </c>
    </row>
    <row r="519" spans="1:19" ht="13.5" customHeight="1" thickBot="1">
      <c r="A519" s="64">
        <f>$A$39</f>
        <v>132</v>
      </c>
      <c r="B519" s="154" t="str">
        <f>IF(B$39="","",B$39)</f>
        <v>B</v>
      </c>
      <c r="C519" s="65" t="str">
        <f>IF($C$39="","",$C$39)</f>
        <v>Feuerwehrsold</v>
      </c>
      <c r="D519" s="66">
        <f t="shared" ca="1" si="16"/>
        <v>0</v>
      </c>
      <c r="E519" s="67"/>
      <c r="F519" s="64">
        <f>$F$39</f>
        <v>232</v>
      </c>
      <c r="G519" s="154" t="str">
        <f>IF(G$39="","",G$39)</f>
        <v>B</v>
      </c>
      <c r="H519" s="65" t="str">
        <f>IF($H$39="","",$H$39)</f>
        <v>Telefon</v>
      </c>
      <c r="I519" s="66">
        <f t="shared" ca="1" si="17"/>
        <v>0</v>
      </c>
      <c r="Q519" s="105">
        <f>SUMIF($B$487:$B$537,"G",$D$487:$D$537)</f>
        <v>0</v>
      </c>
      <c r="R519" s="104">
        <f>Q519+S519</f>
        <v>0</v>
      </c>
      <c r="S519" s="106">
        <f>SUMIF($G$487:$G$537,"G",$I$487:$I$537)</f>
        <v>0</v>
      </c>
    </row>
    <row r="520" spans="1:19" ht="13.5" customHeight="1">
      <c r="A520" s="64">
        <f>$A$40</f>
        <v>133</v>
      </c>
      <c r="B520" s="93" t="str">
        <f>IF(B$40="","",B$40)</f>
        <v/>
      </c>
      <c r="C520" s="65" t="str">
        <f>IF($C$40="","",$C$40)</f>
        <v/>
      </c>
      <c r="D520" s="66" t="str">
        <f t="shared" ca="1" si="16"/>
        <v/>
      </c>
      <c r="E520" s="67"/>
      <c r="F520" s="64">
        <f>$F$40</f>
        <v>233</v>
      </c>
      <c r="G520" s="154" t="str">
        <f>IF(G$40="","",G$40)</f>
        <v>B</v>
      </c>
      <c r="H520" s="65" t="str">
        <f>IF($H$40="","",$H$40)</f>
        <v>Öffentlicher Verkehr und Velo</v>
      </c>
      <c r="I520" s="66">
        <f t="shared" ca="1" si="17"/>
        <v>0</v>
      </c>
    </row>
    <row r="521" spans="1:19" ht="13.5" customHeight="1" thickBot="1">
      <c r="A521" s="64">
        <f>$A$41</f>
        <v>134</v>
      </c>
      <c r="B521" s="93" t="str">
        <f>IF(B$41="","",B$41)</f>
        <v/>
      </c>
      <c r="C521" s="65" t="str">
        <f>IF($C$41="","",$C$41)</f>
        <v/>
      </c>
      <c r="D521" s="66" t="str">
        <f t="shared" ca="1" si="16"/>
        <v/>
      </c>
      <c r="E521" s="67"/>
      <c r="F521" s="64">
        <f>$F$41</f>
        <v>234</v>
      </c>
      <c r="G521" s="154" t="str">
        <f>IF(G$41="","",G$41)</f>
        <v>B</v>
      </c>
      <c r="H521" s="65" t="str">
        <f>IF($H$41="","",$H$41)</f>
        <v>Möbel, Wohnungseinrichtung</v>
      </c>
      <c r="I521" s="66">
        <f t="shared" ca="1" si="17"/>
        <v>0</v>
      </c>
    </row>
    <row r="522" spans="1:19" ht="13.5" customHeight="1">
      <c r="A522" s="64">
        <f>$A$42</f>
        <v>135</v>
      </c>
      <c r="B522" s="93" t="str">
        <f>IF(B$42="","",B$42)</f>
        <v/>
      </c>
      <c r="C522" s="65" t="str">
        <f>IF($C$42="","",$C$42)</f>
        <v/>
      </c>
      <c r="D522" s="66" t="str">
        <f t="shared" ca="1" si="16"/>
        <v/>
      </c>
      <c r="E522" s="67"/>
      <c r="F522" s="64">
        <f>$F$42</f>
        <v>235</v>
      </c>
      <c r="G522" s="154" t="str">
        <f>IF(G$42="","",G$42)</f>
        <v>B</v>
      </c>
      <c r="H522" s="65" t="str">
        <f>IF($H$42="","",$H$42)</f>
        <v>Kosten IT Consulting / Webdesign</v>
      </c>
      <c r="I522" s="66">
        <f t="shared" ca="1" si="17"/>
        <v>0</v>
      </c>
      <c r="Q522" s="100" t="s">
        <v>92</v>
      </c>
      <c r="S522" s="100" t="s">
        <v>101</v>
      </c>
    </row>
    <row r="523" spans="1:19" ht="13.5" customHeight="1">
      <c r="A523" s="64">
        <f>$A$43</f>
        <v>136</v>
      </c>
      <c r="B523" s="93" t="str">
        <f>IF(B$43="","",B$43)</f>
        <v/>
      </c>
      <c r="C523" s="65" t="str">
        <f>IF($C$43="","",$C$43)</f>
        <v/>
      </c>
      <c r="D523" s="66" t="str">
        <f t="shared" ca="1" si="16"/>
        <v/>
      </c>
      <c r="E523" s="67"/>
      <c r="F523" s="64">
        <f>$F$43</f>
        <v>236</v>
      </c>
      <c r="G523" s="154" t="str">
        <f>IF(G$43="","",G$43)</f>
        <v>B</v>
      </c>
      <c r="H523" s="65" t="str">
        <f>IF($H$43="","",$H$43)</f>
        <v>Schule und Bildung Kinder</v>
      </c>
      <c r="I523" s="66">
        <f t="shared" ca="1" si="17"/>
        <v>0</v>
      </c>
      <c r="Q523" s="112" t="str">
        <f>IF(Q$43="","",Q$43)</f>
        <v/>
      </c>
      <c r="S523" s="112" t="str">
        <f>IF(S$43="","",S$43)</f>
        <v/>
      </c>
    </row>
    <row r="524" spans="1:19" ht="13.5" customHeight="1" thickBot="1">
      <c r="A524" s="64">
        <f>$A$44</f>
        <v>137</v>
      </c>
      <c r="B524" s="93" t="str">
        <f>IF(B$44="","",B$44)</f>
        <v/>
      </c>
      <c r="C524" s="65" t="str">
        <f>IF($C$44="","",$C$44)</f>
        <v/>
      </c>
      <c r="D524" s="66" t="str">
        <f t="shared" ca="1" si="16"/>
        <v/>
      </c>
      <c r="E524" s="67"/>
      <c r="F524" s="64">
        <f>$F$44</f>
        <v>237</v>
      </c>
      <c r="G524" s="154" t="str">
        <f>IF(G$44="","",G$44)</f>
        <v>B</v>
      </c>
      <c r="H524" s="65" t="str">
        <f>IF($H$44="","",$H$44)</f>
        <v>Org. Freizeitaktivitäten der Kinder</v>
      </c>
      <c r="I524" s="66">
        <f t="shared" ca="1" si="17"/>
        <v>0</v>
      </c>
      <c r="Q524" s="105">
        <f>SUMIF($B$487:$B$537,"H",$D$487:$D$537)</f>
        <v>0</v>
      </c>
      <c r="R524" s="104">
        <f>Q524+S524</f>
        <v>0</v>
      </c>
      <c r="S524" s="106">
        <f>SUMIF($G$487:$G$537,"H",$I$487:$I$537)</f>
        <v>0</v>
      </c>
    </row>
    <row r="525" spans="1:19" ht="13.5" customHeight="1">
      <c r="A525" s="64">
        <f>$A$45</f>
        <v>138</v>
      </c>
      <c r="B525" s="93" t="str">
        <f>IF(B$45="","",B$45)</f>
        <v/>
      </c>
      <c r="C525" s="65" t="str">
        <f>IF($C$45="","",$C$45)</f>
        <v/>
      </c>
      <c r="D525" s="66" t="str">
        <f t="shared" ca="1" si="16"/>
        <v/>
      </c>
      <c r="E525" s="67"/>
      <c r="F525" s="64">
        <f>$F$45</f>
        <v>238</v>
      </c>
      <c r="G525" s="93" t="str">
        <f>IF(G$45="","",G$45)</f>
        <v/>
      </c>
      <c r="H525" s="65" t="str">
        <f>IF($H$45="","",$H$45)</f>
        <v/>
      </c>
      <c r="I525" s="66" t="str">
        <f t="shared" ca="1" si="17"/>
        <v/>
      </c>
    </row>
    <row r="526" spans="1:19" ht="13.5" customHeight="1" thickBot="1">
      <c r="A526" s="64">
        <f>$A$46</f>
        <v>139</v>
      </c>
      <c r="B526" s="93" t="str">
        <f>IF(B$46="","",B$46)</f>
        <v/>
      </c>
      <c r="C526" s="65" t="str">
        <f>IF($C$46="","",$C$46)</f>
        <v/>
      </c>
      <c r="D526" s="66" t="str">
        <f t="shared" ca="1" si="16"/>
        <v/>
      </c>
      <c r="E526" s="67"/>
      <c r="F526" s="64">
        <f>$F$46</f>
        <v>239</v>
      </c>
      <c r="G526" s="154" t="str">
        <f>IF(G$46="","",G$46)</f>
        <v>B</v>
      </c>
      <c r="H526" s="65" t="str">
        <f>IF($H$46="","",$H$46)</f>
        <v>Wohltätige Spenden</v>
      </c>
      <c r="I526" s="66">
        <f t="shared" ca="1" si="17"/>
        <v>0</v>
      </c>
    </row>
    <row r="527" spans="1:19" ht="13.5" customHeight="1">
      <c r="A527" s="64">
        <f>$A$47</f>
        <v>140</v>
      </c>
      <c r="B527" s="93" t="str">
        <f>IF(B$47="","",B$47)</f>
        <v/>
      </c>
      <c r="C527" s="65" t="str">
        <f>IF($C$47="","",$C$47)</f>
        <v/>
      </c>
      <c r="D527" s="66" t="str">
        <f t="shared" ca="1" si="16"/>
        <v/>
      </c>
      <c r="E527" s="67"/>
      <c r="F527" s="64">
        <f>$F$47</f>
        <v>240</v>
      </c>
      <c r="G527" s="154" t="str">
        <f>IF(G$47="","",G$47)</f>
        <v>B</v>
      </c>
      <c r="H527" s="65" t="str">
        <f>IF($H$47="","",$H$47)</f>
        <v>Vorsorgesparen 3a / PK Einkauf</v>
      </c>
      <c r="I527" s="66">
        <f t="shared" ca="1" si="17"/>
        <v>0</v>
      </c>
      <c r="Q527" s="101" t="s">
        <v>93</v>
      </c>
      <c r="S527" s="101" t="s">
        <v>102</v>
      </c>
    </row>
    <row r="528" spans="1:19" ht="13.5" customHeight="1">
      <c r="A528" s="64">
        <f>$A$48</f>
        <v>141</v>
      </c>
      <c r="B528" s="93" t="str">
        <f>IF(B$48="","",B$48)</f>
        <v/>
      </c>
      <c r="C528" s="65" t="str">
        <f>IF($C$48="","",$C$48)</f>
        <v/>
      </c>
      <c r="D528" s="66" t="str">
        <f t="shared" ca="1" si="16"/>
        <v/>
      </c>
      <c r="E528" s="67"/>
      <c r="F528" s="64">
        <f>$F$48</f>
        <v>241</v>
      </c>
      <c r="G528" s="93" t="str">
        <f>IF(G$48="","",G$48)</f>
        <v/>
      </c>
      <c r="H528" s="65" t="str">
        <f>IF($H$48="","",$H$48)</f>
        <v/>
      </c>
      <c r="I528" s="66" t="str">
        <f t="shared" ca="1" si="17"/>
        <v/>
      </c>
      <c r="Q528" s="112" t="str">
        <f>IF(Q$48="","",Q$48)</f>
        <v/>
      </c>
      <c r="S528" s="112" t="str">
        <f>IF(S$48="","",S$48)</f>
        <v/>
      </c>
    </row>
    <row r="529" spans="1:19" ht="13.5" customHeight="1" thickBot="1">
      <c r="A529" s="64">
        <f>$A$49</f>
        <v>142</v>
      </c>
      <c r="B529" s="93" t="str">
        <f>IF(B$49="","",B$49)</f>
        <v/>
      </c>
      <c r="C529" s="65" t="str">
        <f>IF($C$49="","",$C$49)</f>
        <v/>
      </c>
      <c r="D529" s="66" t="str">
        <f t="shared" ca="1" si="16"/>
        <v/>
      </c>
      <c r="E529" s="67"/>
      <c r="F529" s="64">
        <f>$F$49</f>
        <v>242</v>
      </c>
      <c r="G529" s="93" t="str">
        <f>IF(G$49="","",G$49)</f>
        <v/>
      </c>
      <c r="H529" s="65" t="str">
        <f>IF($H$49="","",$H$49)</f>
        <v/>
      </c>
      <c r="I529" s="66" t="str">
        <f t="shared" ca="1" si="17"/>
        <v/>
      </c>
      <c r="Q529" s="105">
        <f>SUMIF($B$487:$B$537,"I",$D$487:$D$537)</f>
        <v>0</v>
      </c>
      <c r="R529" s="104">
        <f>Q529+S529</f>
        <v>0</v>
      </c>
      <c r="S529" s="106">
        <f>SUMIF($G$487:$G$537,"I",$I$487:$I$537)</f>
        <v>0</v>
      </c>
    </row>
    <row r="530" spans="1:19" ht="13.5" customHeight="1">
      <c r="A530" s="64">
        <f>$A$50</f>
        <v>143</v>
      </c>
      <c r="B530" s="93" t="str">
        <f>IF(B$50="","",B$50)</f>
        <v/>
      </c>
      <c r="C530" s="65" t="str">
        <f>IF($C$50="","",$C$50)</f>
        <v/>
      </c>
      <c r="D530" s="66" t="str">
        <f t="shared" ca="1" si="16"/>
        <v/>
      </c>
      <c r="E530" s="67"/>
      <c r="F530" s="64">
        <f>$F$50</f>
        <v>243</v>
      </c>
      <c r="G530" s="154" t="str">
        <f>IF(G$50="","",G$50)</f>
        <v>B</v>
      </c>
      <c r="H530" s="65" t="str">
        <f>IF($H$50="","",$H$50)</f>
        <v>Wasser</v>
      </c>
      <c r="I530" s="66">
        <f t="shared" ca="1" si="17"/>
        <v>0</v>
      </c>
    </row>
    <row r="531" spans="1:19" ht="13.5" customHeight="1" thickBot="1">
      <c r="A531" s="64">
        <f>$A$51</f>
        <v>144</v>
      </c>
      <c r="B531" s="93" t="str">
        <f>IF(B$51="","",B$51)</f>
        <v/>
      </c>
      <c r="C531" s="65" t="str">
        <f>IF($C$51="","",$C$51)</f>
        <v/>
      </c>
      <c r="D531" s="66" t="str">
        <f t="shared" ca="1" si="16"/>
        <v/>
      </c>
      <c r="E531" s="67"/>
      <c r="F531" s="64">
        <f>$F$51</f>
        <v>244</v>
      </c>
      <c r="G531" s="154" t="str">
        <f>IF(G$51="","",G$51)</f>
        <v>B</v>
      </c>
      <c r="H531" s="65" t="str">
        <f>IF($H$51="","",$H$51)</f>
        <v>Strom</v>
      </c>
      <c r="I531" s="66">
        <f t="shared" ca="1" si="17"/>
        <v>0</v>
      </c>
    </row>
    <row r="532" spans="1:19" ht="13.5" customHeight="1">
      <c r="A532" s="64">
        <f>$A$52</f>
        <v>145</v>
      </c>
      <c r="B532" s="93" t="str">
        <f>IF(B$52="","",B$52)</f>
        <v/>
      </c>
      <c r="C532" s="65" t="str">
        <f>IF($C$52="","",$C$52)</f>
        <v/>
      </c>
      <c r="D532" s="66" t="str">
        <f t="shared" ca="1" si="16"/>
        <v/>
      </c>
      <c r="E532" s="67"/>
      <c r="F532" s="64">
        <f>$F$52</f>
        <v>245</v>
      </c>
      <c r="G532" s="154" t="str">
        <f>IF(G$52="","",G$52)</f>
        <v>B</v>
      </c>
      <c r="H532" s="65" t="str">
        <f>IF($H$52="","",$H$52)</f>
        <v>Geschenke</v>
      </c>
      <c r="I532" s="66">
        <f t="shared" ca="1" si="17"/>
        <v>0</v>
      </c>
      <c r="Q532" s="102" t="s">
        <v>94</v>
      </c>
      <c r="S532" s="102" t="s">
        <v>103</v>
      </c>
    </row>
    <row r="533" spans="1:19" ht="13.5" customHeight="1">
      <c r="A533" s="64">
        <f>$A$53</f>
        <v>146</v>
      </c>
      <c r="B533" s="93" t="str">
        <f>IF(B$53="","",B$53)</f>
        <v/>
      </c>
      <c r="C533" s="65" t="str">
        <f>IF($C$53="","",$C$53)</f>
        <v/>
      </c>
      <c r="D533" s="66" t="str">
        <f t="shared" ca="1" si="16"/>
        <v/>
      </c>
      <c r="E533" s="67"/>
      <c r="F533" s="64">
        <f>$F$53</f>
        <v>246</v>
      </c>
      <c r="G533" s="154" t="str">
        <f>IF(G$53="","",G$53)</f>
        <v>B</v>
      </c>
      <c r="H533" s="65" t="str">
        <f>IF($H$53="","",$H$53)</f>
        <v>Erwachsenenbildung</v>
      </c>
      <c r="I533" s="66">
        <f t="shared" ca="1" si="17"/>
        <v>0</v>
      </c>
      <c r="Q533" s="112" t="str">
        <f>IF(Q$53="","",Q$53)</f>
        <v/>
      </c>
      <c r="S533" s="112" t="str">
        <f>IF(S$53="","",S$53)</f>
        <v/>
      </c>
    </row>
    <row r="534" spans="1:19" ht="13.5" customHeight="1" thickBot="1">
      <c r="A534" s="64">
        <f>$A$54</f>
        <v>147</v>
      </c>
      <c r="B534" s="154" t="str">
        <f>IF(B$54="","",B$54)</f>
        <v>B</v>
      </c>
      <c r="C534" s="65" t="str">
        <f>IF($C$54="","",$C$54)</f>
        <v>Diverse Privateinnahmen</v>
      </c>
      <c r="D534" s="66">
        <f t="shared" ca="1" si="16"/>
        <v>0</v>
      </c>
      <c r="E534" s="67"/>
      <c r="F534" s="64">
        <f>$F$54</f>
        <v>247</v>
      </c>
      <c r="G534" s="154" t="str">
        <f>IF(G$54="","",G$54)</f>
        <v>B</v>
      </c>
      <c r="H534" s="65" t="str">
        <f>IF($H$54="","",$H$54)</f>
        <v>Diverse Privatausgaben</v>
      </c>
      <c r="I534" s="66">
        <f t="shared" ca="1" si="17"/>
        <v>0</v>
      </c>
      <c r="Q534" s="105">
        <f>SUMIF($B$487:$B$537,"K",$D$487:$D$537)</f>
        <v>0</v>
      </c>
      <c r="R534" s="104">
        <f>Q534+S534</f>
        <v>0</v>
      </c>
      <c r="S534" s="106">
        <f>SUMIF($G$487:$G$537,"K",$I$487:$I$537)</f>
        <v>0</v>
      </c>
    </row>
    <row r="535" spans="1:19" ht="13.5" customHeight="1">
      <c r="A535" s="64">
        <f>$A$55</f>
        <v>148</v>
      </c>
      <c r="B535" s="93" t="str">
        <f>IF(B$55="","",B$55)</f>
        <v/>
      </c>
      <c r="C535" s="65" t="str">
        <f>IF($C$55="","",$C$55)</f>
        <v/>
      </c>
      <c r="D535" s="66" t="str">
        <f t="shared" ca="1" si="16"/>
        <v/>
      </c>
      <c r="E535" s="67"/>
      <c r="F535" s="64">
        <f>$F$55</f>
        <v>248</v>
      </c>
      <c r="G535" s="154" t="str">
        <f>IF(G$55="","",G$55)</f>
        <v>B</v>
      </c>
      <c r="H535" s="65" t="str">
        <f>IF($H$55="","",$H$55)</f>
        <v>Private Vereinsbeiträge</v>
      </c>
      <c r="I535" s="66">
        <f t="shared" ca="1" si="17"/>
        <v>0</v>
      </c>
    </row>
    <row r="536" spans="1:19" ht="13.5" customHeight="1" thickBot="1">
      <c r="A536" s="64">
        <f>$A$56</f>
        <v>149</v>
      </c>
      <c r="B536" s="93" t="str">
        <f>IF(B$56="","",B$56)</f>
        <v/>
      </c>
      <c r="C536" s="65" t="str">
        <f>IF($C$56="","",$C$56)</f>
        <v/>
      </c>
      <c r="D536" s="66" t="str">
        <f t="shared" ca="1" si="16"/>
        <v/>
      </c>
      <c r="E536" s="67"/>
      <c r="F536" s="64">
        <f>$F$56</f>
        <v>249</v>
      </c>
      <c r="G536" s="154" t="str">
        <f>IF(G$56="","",G$56)</f>
        <v>B</v>
      </c>
      <c r="H536" s="65" t="str">
        <f>IF($H$56="","",$H$56)</f>
        <v>Spesen Vermögensverwaltung</v>
      </c>
      <c r="I536" s="66">
        <f t="shared" ca="1" si="17"/>
        <v>0</v>
      </c>
    </row>
    <row r="537" spans="1:19" ht="13.5" customHeight="1" thickBot="1">
      <c r="A537" s="64">
        <f>$A$57</f>
        <v>150</v>
      </c>
      <c r="B537" s="154" t="str">
        <f>IF(B$57="","",B$57)</f>
        <v>B</v>
      </c>
      <c r="C537" s="65" t="str">
        <f>IF($C$57="","",$C$57)</f>
        <v>Zinsen, Zinssteuererstattungen</v>
      </c>
      <c r="D537" s="66">
        <f t="shared" ca="1" si="16"/>
        <v>0</v>
      </c>
      <c r="E537" s="67"/>
      <c r="F537" s="64">
        <f>$F$57</f>
        <v>250</v>
      </c>
      <c r="G537" s="154" t="str">
        <f>IF(G$57="","",G$57)</f>
        <v>B</v>
      </c>
      <c r="H537" s="65" t="str">
        <f>IF($H$57="","",$H$57)</f>
        <v>Steuern</v>
      </c>
      <c r="I537" s="66">
        <f t="shared" ca="1" si="17"/>
        <v>0</v>
      </c>
      <c r="L537" s="119">
        <f ca="1">L489+L494+L499+L504+L509+L514+L519+L524+L529+L534</f>
        <v>0</v>
      </c>
      <c r="M537" s="120" t="s">
        <v>111</v>
      </c>
      <c r="N537" s="121">
        <f ca="1">N489+N494+N499+N504+N509+N514+N519+N524+N529+N534</f>
        <v>0</v>
      </c>
      <c r="Q537" s="119">
        <f ca="1">Q489+Q494+Q499+Q504+Q509+Q514+Q519+Q524+Q529+Q534</f>
        <v>0</v>
      </c>
      <c r="R537" s="120" t="s">
        <v>111</v>
      </c>
      <c r="S537" s="121">
        <f ca="1">S489+S494+S499+S504+S509+S514+S519+S524+S529+S534</f>
        <v>0</v>
      </c>
    </row>
    <row r="538" spans="1:19" ht="13.5" customHeight="1" thickTop="1" thickBot="1">
      <c r="A538" s="68" t="s">
        <v>38</v>
      </c>
      <c r="B538" s="91"/>
      <c r="C538" s="69"/>
      <c r="D538" s="70">
        <f ca="1">SUM(D487:D537)</f>
        <v>0</v>
      </c>
      <c r="F538" s="68" t="s">
        <v>39</v>
      </c>
      <c r="G538" s="91"/>
      <c r="H538" s="69"/>
      <c r="I538" s="70">
        <f ca="1">SUM(I487:I537)</f>
        <v>0</v>
      </c>
      <c r="L538" s="117">
        <f ca="1">$D$538</f>
        <v>0</v>
      </c>
      <c r="M538" s="41" t="s">
        <v>110</v>
      </c>
      <c r="N538" s="116">
        <f ca="1">$I$538</f>
        <v>0</v>
      </c>
      <c r="Q538" s="117">
        <f ca="1">$D$538</f>
        <v>0</v>
      </c>
      <c r="R538" s="41" t="s">
        <v>110</v>
      </c>
      <c r="S538" s="116">
        <f ca="1">$I$538</f>
        <v>0</v>
      </c>
    </row>
    <row r="539" spans="1:19" ht="13.5" customHeight="1" thickTop="1">
      <c r="A539" s="71" t="s">
        <v>109</v>
      </c>
      <c r="B539" s="92"/>
      <c r="C539" s="72"/>
      <c r="D539" s="148">
        <f ca="1">Sept.!$E$7</f>
        <v>0</v>
      </c>
      <c r="F539" s="71" t="s">
        <v>109</v>
      </c>
      <c r="G539" s="92"/>
      <c r="H539" s="72"/>
      <c r="I539" s="148">
        <f ca="1">Sept.!$G$7</f>
        <v>0</v>
      </c>
      <c r="L539" s="114">
        <f ca="1">L489+L494+L499+L504+L509+L514+L519+L524+L529+L534+SUMIF($B$487:$B$537,"",$D$487:$D$537)</f>
        <v>0</v>
      </c>
      <c r="M539" s="115" t="s">
        <v>107</v>
      </c>
      <c r="N539" s="114">
        <f ca="1">N489+N494+N499+N504+N509+N514+N519+N524+N529+N534+SUMIF($G$487:$G$537,"",$I$487:$I$537)</f>
        <v>0</v>
      </c>
      <c r="Q539" s="114">
        <f ca="1">Q489+Q494+Q499+Q504+Q509+Q514+Q519+Q524+Q529+Q534+SUMIF($B$487:$B$537,"",$D$487:$D$537)</f>
        <v>0</v>
      </c>
      <c r="R539" s="115" t="s">
        <v>107</v>
      </c>
      <c r="S539" s="114">
        <f ca="1">S489+S494+S499+S504+S509+S514+S519+S524+S529+S534+SUMIF($G$487:$G$537,"",$I$487:$I$537)</f>
        <v>0</v>
      </c>
    </row>
    <row r="540" spans="1:19" ht="13.5" customHeight="1"/>
    <row r="541" spans="1:19" ht="15.95" customHeight="1">
      <c r="A541" s="57" t="str">
        <f>$A$1</f>
        <v>Einnahmen und Ausgaben nach Kategorien</v>
      </c>
      <c r="B541" s="33"/>
      <c r="C541" s="58"/>
      <c r="D541" s="58"/>
      <c r="E541" s="58"/>
      <c r="F541" s="58"/>
      <c r="G541" s="34"/>
      <c r="H541" s="58"/>
      <c r="I541" s="59" t="str">
        <f>CONCATENATE("Oktober ",$A$2)</f>
        <v xml:space="preserve">Oktober </v>
      </c>
      <c r="L541" s="33" t="str">
        <f>CONCATENATE("Kategoriengruppen Oktober ",$A$2)</f>
        <v xml:space="preserve">Kategoriengruppen Oktober </v>
      </c>
      <c r="Q541" s="33" t="str">
        <f>CONCATENATE("Kategoriengruppen Oktober ",$A$2)</f>
        <v xml:space="preserve">Kategoriengruppen Oktober </v>
      </c>
    </row>
    <row r="542" spans="1:19" ht="13.5" customHeight="1"/>
    <row r="543" spans="1:19" ht="13.5" customHeight="1"/>
    <row r="544" spans="1:19" ht="13.5" customHeight="1">
      <c r="A544" s="60" t="s">
        <v>40</v>
      </c>
      <c r="B544" s="39"/>
      <c r="C544" s="60"/>
      <c r="D544" s="60"/>
      <c r="F544" s="60" t="s">
        <v>41</v>
      </c>
      <c r="G544" s="39"/>
      <c r="H544" s="60"/>
      <c r="I544" s="60"/>
      <c r="L544" s="39" t="s">
        <v>84</v>
      </c>
      <c r="M544" s="103" t="s">
        <v>106</v>
      </c>
      <c r="N544" s="39" t="s">
        <v>85</v>
      </c>
      <c r="Q544" s="39" t="s">
        <v>84</v>
      </c>
      <c r="R544" s="103" t="s">
        <v>106</v>
      </c>
      <c r="S544" s="39" t="s">
        <v>85</v>
      </c>
    </row>
    <row r="545" spans="1:19" ht="13.5" customHeight="1" thickBot="1"/>
    <row r="546" spans="1:19" ht="13.5" customHeight="1" thickTop="1" thickBot="1">
      <c r="A546" s="61" t="s">
        <v>24</v>
      </c>
      <c r="B546" s="90" t="s">
        <v>82</v>
      </c>
      <c r="C546" s="62" t="s">
        <v>25</v>
      </c>
      <c r="D546" s="63" t="str">
        <f>$D$6</f>
        <v>CHF</v>
      </c>
      <c r="F546" s="61" t="s">
        <v>24</v>
      </c>
      <c r="G546" s="90" t="s">
        <v>82</v>
      </c>
      <c r="H546" s="62" t="s">
        <v>25</v>
      </c>
      <c r="I546" s="63" t="str">
        <f>$D$6</f>
        <v>CHF</v>
      </c>
    </row>
    <row r="547" spans="1:19" ht="13.5" customHeight="1" thickTop="1">
      <c r="A547" s="64">
        <f>$A$7</f>
        <v>100</v>
      </c>
      <c r="B547" s="153" t="str">
        <f>IF(B$7="","",B$7)</f>
        <v>A</v>
      </c>
      <c r="C547" s="65" t="str">
        <f>IF($C$7="","",$C$7)</f>
        <v>Ladenverkauf</v>
      </c>
      <c r="D547" s="66">
        <f ca="1">IF(C547="","",SUMIF(INDIRECT("Okt.!$D$15:$D$16000"),A547,INDIRECT("Okt.!$E$15:$E$16000")))</f>
        <v>0</v>
      </c>
      <c r="E547" s="67"/>
      <c r="F547" s="64">
        <f>$F$7</f>
        <v>200</v>
      </c>
      <c r="G547" s="153" t="str">
        <f>IF(G$7="","",G$7)</f>
        <v>A</v>
      </c>
      <c r="H547" s="65" t="str">
        <f>IF($H$7="","",$H$7)</f>
        <v>Maschinen und Geräte</v>
      </c>
      <c r="I547" s="66">
        <f ca="1">IF(H547="","",SUMIF(INDIRECT("Okt.!$F$15:$F$16000"),F547,INDIRECT("Okt.!$G$15:$G$16000")))</f>
        <v>0</v>
      </c>
      <c r="L547" s="95" t="s">
        <v>83</v>
      </c>
      <c r="N547" s="95" t="s">
        <v>104</v>
      </c>
      <c r="Q547" s="95" t="s">
        <v>83</v>
      </c>
      <c r="S547" s="95" t="s">
        <v>104</v>
      </c>
    </row>
    <row r="548" spans="1:19" ht="13.5" customHeight="1">
      <c r="A548" s="64">
        <f>$A$8</f>
        <v>101</v>
      </c>
      <c r="B548" s="153" t="str">
        <f>IF(B$8="","",B$8)</f>
        <v>A</v>
      </c>
      <c r="C548" s="65" t="str">
        <f>IF($C$8="","",$C$8)</f>
        <v>Verkauf über Internet</v>
      </c>
      <c r="D548" s="66">
        <f t="shared" ref="D548:D597" ca="1" si="18">IF(C548="","",SUMIF(INDIRECT("Okt.!$D$15:$D$16000"),A548,INDIRECT("Okt.!$E$15:$E$16000")))</f>
        <v>0</v>
      </c>
      <c r="E548" s="67"/>
      <c r="F548" s="64">
        <f>$F$8</f>
        <v>201</v>
      </c>
      <c r="G548" s="153" t="str">
        <f>IF(G$8="","",G$8)</f>
        <v>A</v>
      </c>
      <c r="H548" s="65" t="str">
        <f>IF($H$8="","",$H$8)</f>
        <v>Ladenmiete</v>
      </c>
      <c r="I548" s="66">
        <f t="shared" ref="I548:I597" ca="1" si="19">IF(H548="","",SUMIF(INDIRECT("Okt.!$F$15:$F$16000"),F548,INDIRECT("Okt.!$G$15:$G$16000")))</f>
        <v>0</v>
      </c>
      <c r="L548" s="112" t="str">
        <f>IF(L$8="","",L$8)</f>
        <v>Landwirtschaft</v>
      </c>
      <c r="N548" s="112" t="str">
        <f>IF(N$8="","",N$8)</f>
        <v>Landwirtschaft</v>
      </c>
      <c r="Q548" s="112" t="str">
        <f>IF(Q$8="","",Q$8)</f>
        <v/>
      </c>
      <c r="S548" s="112" t="str">
        <f>IF(S$8="","",S$8)</f>
        <v/>
      </c>
    </row>
    <row r="549" spans="1:19" ht="13.5" customHeight="1" thickBot="1">
      <c r="A549" s="64">
        <f>$A$9</f>
        <v>102</v>
      </c>
      <c r="B549" s="93" t="str">
        <f>IF(B$9="","",B$9)</f>
        <v/>
      </c>
      <c r="C549" s="65" t="str">
        <f>IF($C$9="","",$C$9)</f>
        <v/>
      </c>
      <c r="D549" s="66" t="str">
        <f t="shared" ca="1" si="18"/>
        <v/>
      </c>
      <c r="E549" s="67"/>
      <c r="F549" s="64">
        <f>$F$9</f>
        <v>202</v>
      </c>
      <c r="G549" s="153" t="str">
        <f>IF(G$9="","",G$9)</f>
        <v>A</v>
      </c>
      <c r="H549" s="65" t="str">
        <f>IF($H$9="","",$H$9)</f>
        <v>Werbeausgaben</v>
      </c>
      <c r="I549" s="66">
        <f t="shared" ca="1" si="19"/>
        <v>0</v>
      </c>
      <c r="L549" s="105">
        <f ca="1">SUMIF($B$547:$B$597,"A",$D$547:$D$597)</f>
        <v>0</v>
      </c>
      <c r="M549" s="104">
        <f ca="1">L549+N549</f>
        <v>0</v>
      </c>
      <c r="N549" s="106">
        <f ca="1">SUMIF($G$547:$G$597,"A",$I$547:$I$597)</f>
        <v>0</v>
      </c>
      <c r="Q549" s="105">
        <f ca="1">SUMIF($B$547:$B$597,"A",$D$547:$D$597)</f>
        <v>0</v>
      </c>
      <c r="R549" s="104">
        <f ca="1">Q549+S549</f>
        <v>0</v>
      </c>
      <c r="S549" s="106">
        <f ca="1">SUMIF($G$547:$G$597,"A",$I$547:$I$597)</f>
        <v>0</v>
      </c>
    </row>
    <row r="550" spans="1:19" ht="13.5" customHeight="1">
      <c r="A550" s="64">
        <f>$A$10</f>
        <v>103</v>
      </c>
      <c r="B550" s="93" t="str">
        <f>IF(B$10="","",B$10)</f>
        <v/>
      </c>
      <c r="C550" s="65" t="str">
        <f>IF($C$10="","",$C$10)</f>
        <v/>
      </c>
      <c r="D550" s="66" t="str">
        <f t="shared" ca="1" si="18"/>
        <v/>
      </c>
      <c r="E550" s="67"/>
      <c r="F550" s="64">
        <f>$F$10</f>
        <v>203</v>
      </c>
      <c r="G550" s="153" t="str">
        <f>IF(G$10="","",G$10)</f>
        <v>A</v>
      </c>
      <c r="H550" s="65" t="str">
        <f>IF($H$10="","",$H$10)</f>
        <v>Löhne</v>
      </c>
      <c r="I550" s="66">
        <f t="shared" ca="1" si="19"/>
        <v>0</v>
      </c>
    </row>
    <row r="551" spans="1:19" ht="13.5" customHeight="1" thickBot="1">
      <c r="A551" s="64">
        <f>$A$11</f>
        <v>104</v>
      </c>
      <c r="B551" s="93" t="str">
        <f>IF(B$11="","",B$11)</f>
        <v/>
      </c>
      <c r="C551" s="65" t="str">
        <f>IF($C$11="","",$C$11)</f>
        <v/>
      </c>
      <c r="D551" s="66" t="str">
        <f t="shared" ca="1" si="18"/>
        <v/>
      </c>
      <c r="E551" s="67"/>
      <c r="F551" s="64">
        <f>$F$11</f>
        <v>204</v>
      </c>
      <c r="G551" s="93" t="str">
        <f>IF(G$11="","",G$11)</f>
        <v/>
      </c>
      <c r="H551" s="65" t="str">
        <f>IF($H$11="","",$H$11)</f>
        <v/>
      </c>
      <c r="I551" s="66" t="str">
        <f t="shared" ca="1" si="19"/>
        <v/>
      </c>
    </row>
    <row r="552" spans="1:19" ht="13.5" customHeight="1">
      <c r="A552" s="64">
        <f>$A$12</f>
        <v>105</v>
      </c>
      <c r="B552" s="93" t="str">
        <f>IF(B$12="","",B$12)</f>
        <v/>
      </c>
      <c r="C552" s="65" t="str">
        <f>IF($C$12="","",$C$12)</f>
        <v/>
      </c>
      <c r="D552" s="66" t="str">
        <f t="shared" ca="1" si="18"/>
        <v/>
      </c>
      <c r="E552" s="67"/>
      <c r="F552" s="64">
        <f>$F$12</f>
        <v>205</v>
      </c>
      <c r="G552" s="93" t="str">
        <f>IF(G$12="","",G$12)</f>
        <v/>
      </c>
      <c r="H552" s="65" t="str">
        <f>IF($H$12="","",$H$12)</f>
        <v/>
      </c>
      <c r="I552" s="66" t="str">
        <f t="shared" ca="1" si="19"/>
        <v/>
      </c>
      <c r="L552" s="96" t="s">
        <v>86</v>
      </c>
      <c r="N552" s="96" t="s">
        <v>95</v>
      </c>
      <c r="Q552" s="96" t="s">
        <v>86</v>
      </c>
      <c r="S552" s="96" t="s">
        <v>95</v>
      </c>
    </row>
    <row r="553" spans="1:19" ht="13.5" customHeight="1">
      <c r="A553" s="64">
        <f>$A$13</f>
        <v>106</v>
      </c>
      <c r="B553" s="93" t="str">
        <f>IF(B$13="","",B$13)</f>
        <v/>
      </c>
      <c r="C553" s="65" t="str">
        <f>IF($C$13="","",$C$13)</f>
        <v/>
      </c>
      <c r="D553" s="66" t="str">
        <f t="shared" ca="1" si="18"/>
        <v/>
      </c>
      <c r="E553" s="67"/>
      <c r="F553" s="64">
        <f>$F$13</f>
        <v>206</v>
      </c>
      <c r="G553" s="93" t="str">
        <f>IF(G$13="","",G$13)</f>
        <v/>
      </c>
      <c r="H553" s="65" t="str">
        <f>IF($H$13="","",$H$13)</f>
        <v/>
      </c>
      <c r="I553" s="66" t="str">
        <f t="shared" ca="1" si="19"/>
        <v/>
      </c>
      <c r="L553" s="112" t="str">
        <f>IF(L$13="","",L$13)</f>
        <v>Privat</v>
      </c>
      <c r="N553" s="112" t="str">
        <f>IF(N$13="","",N$13)</f>
        <v>Privat</v>
      </c>
      <c r="Q553" s="112" t="str">
        <f>IF(Q$13="","",Q$13)</f>
        <v/>
      </c>
      <c r="S553" s="112" t="str">
        <f>IF(S$13="","",S$13)</f>
        <v/>
      </c>
    </row>
    <row r="554" spans="1:19" ht="13.5" customHeight="1" thickBot="1">
      <c r="A554" s="64">
        <f>$A$14</f>
        <v>107</v>
      </c>
      <c r="B554" s="93" t="str">
        <f>IF(B$14="","",B$14)</f>
        <v/>
      </c>
      <c r="C554" s="65" t="str">
        <f>IF($C$14="","",$C$14)</f>
        <v/>
      </c>
      <c r="D554" s="66" t="str">
        <f t="shared" ca="1" si="18"/>
        <v/>
      </c>
      <c r="E554" s="67"/>
      <c r="F554" s="64">
        <f>$F$14</f>
        <v>207</v>
      </c>
      <c r="G554" s="93" t="str">
        <f>IF(G$14="","",G$14)</f>
        <v/>
      </c>
      <c r="H554" s="65" t="str">
        <f>IF($H$14="","",$H$14)</f>
        <v/>
      </c>
      <c r="I554" s="66" t="str">
        <f t="shared" ca="1" si="19"/>
        <v/>
      </c>
      <c r="L554" s="105">
        <f ca="1">SUMIF($B$547:$B$597,"B",$D$547:$D$597)</f>
        <v>0</v>
      </c>
      <c r="M554" s="104">
        <f ca="1">L554+N554</f>
        <v>0</v>
      </c>
      <c r="N554" s="106">
        <f ca="1">SUMIF($G$547:$G$597,"B",$I$547:$I$597)</f>
        <v>0</v>
      </c>
      <c r="Q554" s="105">
        <f ca="1">SUMIF($B$547:$B$597,"B",$D$547:$D$597)</f>
        <v>0</v>
      </c>
      <c r="R554" s="104">
        <f ca="1">Q554+S554</f>
        <v>0</v>
      </c>
      <c r="S554" s="106">
        <f ca="1">SUMIF($G$547:$G$597,"B",$I$547:$I$597)</f>
        <v>0</v>
      </c>
    </row>
    <row r="555" spans="1:19" ht="13.5" customHeight="1">
      <c r="A555" s="64">
        <f>$A$15</f>
        <v>108</v>
      </c>
      <c r="B555" s="93" t="str">
        <f>IF(B$15="","",B$15)</f>
        <v/>
      </c>
      <c r="C555" s="65" t="str">
        <f>IF($C$15="","",$C$15)</f>
        <v/>
      </c>
      <c r="D555" s="66" t="str">
        <f t="shared" ca="1" si="18"/>
        <v/>
      </c>
      <c r="E555" s="67"/>
      <c r="F555" s="64">
        <f>$F$15</f>
        <v>208</v>
      </c>
      <c r="G555" s="93" t="str">
        <f>IF(G$15="","",G$15)</f>
        <v/>
      </c>
      <c r="H555" s="65" t="str">
        <f>IF($H$15="","",$H$15)</f>
        <v/>
      </c>
      <c r="I555" s="66" t="str">
        <f t="shared" ca="1" si="19"/>
        <v/>
      </c>
    </row>
    <row r="556" spans="1:19" ht="13.5" customHeight="1" thickBot="1">
      <c r="A556" s="64">
        <f>$A$16</f>
        <v>109</v>
      </c>
      <c r="B556" s="93" t="str">
        <f>IF(B$16="","",B$16)</f>
        <v/>
      </c>
      <c r="C556" s="65" t="str">
        <f>IF($C$16="","",$C$16)</f>
        <v/>
      </c>
      <c r="D556" s="66" t="str">
        <f t="shared" ca="1" si="18"/>
        <v/>
      </c>
      <c r="E556" s="67"/>
      <c r="F556" s="64">
        <f>$F$16</f>
        <v>209</v>
      </c>
      <c r="G556" s="93" t="str">
        <f>IF(G$16="","",G$16)</f>
        <v/>
      </c>
      <c r="H556" s="65" t="str">
        <f>IF($H$16="","",$H$16)</f>
        <v/>
      </c>
      <c r="I556" s="66" t="str">
        <f t="shared" ca="1" si="19"/>
        <v/>
      </c>
    </row>
    <row r="557" spans="1:19" ht="13.5" customHeight="1">
      <c r="A557" s="64">
        <f>$A$17</f>
        <v>110</v>
      </c>
      <c r="B557" s="93" t="str">
        <f>IF(B$17="","",B$17)</f>
        <v/>
      </c>
      <c r="C557" s="65" t="str">
        <f>IF($C$17="","",$C$17)</f>
        <v/>
      </c>
      <c r="D557" s="66" t="str">
        <f t="shared" ca="1" si="18"/>
        <v/>
      </c>
      <c r="E557" s="67"/>
      <c r="F557" s="64">
        <f>$F$17</f>
        <v>210</v>
      </c>
      <c r="G557" s="93" t="str">
        <f>IF(G$17="","",G$17)</f>
        <v/>
      </c>
      <c r="H557" s="65" t="str">
        <f>IF($H$17="","",$H$17)</f>
        <v/>
      </c>
      <c r="I557" s="66" t="str">
        <f t="shared" ca="1" si="19"/>
        <v/>
      </c>
      <c r="Q557" s="109" t="s">
        <v>87</v>
      </c>
      <c r="S557" s="109" t="s">
        <v>96</v>
      </c>
    </row>
    <row r="558" spans="1:19" ht="13.5" customHeight="1">
      <c r="A558" s="64">
        <f>$A$18</f>
        <v>111</v>
      </c>
      <c r="B558" s="93" t="str">
        <f>IF(B$18="","",B$18)</f>
        <v/>
      </c>
      <c r="C558" s="65" t="str">
        <f>IF($C$18="","",$C$18)</f>
        <v/>
      </c>
      <c r="D558" s="66" t="str">
        <f t="shared" ca="1" si="18"/>
        <v/>
      </c>
      <c r="E558" s="67"/>
      <c r="F558" s="64">
        <f>$F$18</f>
        <v>211</v>
      </c>
      <c r="G558" s="93" t="str">
        <f>IF(G$18="","",G$18)</f>
        <v/>
      </c>
      <c r="H558" s="65" t="str">
        <f>IF($H$18="","",$H$18)</f>
        <v/>
      </c>
      <c r="I558" s="66" t="str">
        <f t="shared" ca="1" si="19"/>
        <v/>
      </c>
      <c r="Q558" s="112" t="str">
        <f>IF(Q$18="","",Q$18)</f>
        <v/>
      </c>
      <c r="S558" s="112" t="str">
        <f>IF(S$18="","",S$18)</f>
        <v/>
      </c>
    </row>
    <row r="559" spans="1:19" ht="13.5" customHeight="1" thickBot="1">
      <c r="A559" s="64">
        <f>$A$19</f>
        <v>112</v>
      </c>
      <c r="B559" s="93" t="str">
        <f>IF(B$19="","",B$19)</f>
        <v/>
      </c>
      <c r="C559" s="65" t="str">
        <f>IF($C$19="","",$C$19)</f>
        <v/>
      </c>
      <c r="D559" s="66" t="str">
        <f t="shared" ca="1" si="18"/>
        <v/>
      </c>
      <c r="E559" s="67"/>
      <c r="F559" s="64">
        <f>$F$19</f>
        <v>212</v>
      </c>
      <c r="G559" s="93" t="str">
        <f>IF(G$19="","",G$19)</f>
        <v/>
      </c>
      <c r="H559" s="65" t="str">
        <f>IF($H$19="","",$H$19)</f>
        <v/>
      </c>
      <c r="I559" s="66" t="str">
        <f t="shared" ca="1" si="19"/>
        <v/>
      </c>
      <c r="Q559" s="105">
        <f>SUMIF($B$547:$B$597,"C",$D$547:$D$597)</f>
        <v>0</v>
      </c>
      <c r="R559" s="104">
        <f>Q559+S559</f>
        <v>0</v>
      </c>
      <c r="S559" s="106">
        <f>SUMIF($G$547:$G$597,"C",$I$547:$I$597)</f>
        <v>0</v>
      </c>
    </row>
    <row r="560" spans="1:19" ht="13.5" customHeight="1">
      <c r="A560" s="64">
        <f>$A$20</f>
        <v>113</v>
      </c>
      <c r="B560" s="93" t="str">
        <f>IF(B$20="","",B$20)</f>
        <v/>
      </c>
      <c r="C560" s="65" t="str">
        <f>IF($C$20="","",$C$20)</f>
        <v/>
      </c>
      <c r="D560" s="66" t="str">
        <f t="shared" ca="1" si="18"/>
        <v/>
      </c>
      <c r="E560" s="67"/>
      <c r="F560" s="64">
        <f>$F$20</f>
        <v>213</v>
      </c>
      <c r="G560" s="93" t="str">
        <f>IF(G$20="","",G$20)</f>
        <v/>
      </c>
      <c r="H560" s="65" t="str">
        <f>IF($H$20="","",$H$20)</f>
        <v/>
      </c>
      <c r="I560" s="66" t="str">
        <f t="shared" ca="1" si="19"/>
        <v/>
      </c>
    </row>
    <row r="561" spans="1:19" ht="13.5" customHeight="1" thickBot="1">
      <c r="A561" s="64">
        <f>$A$21</f>
        <v>114</v>
      </c>
      <c r="B561" s="93" t="str">
        <f>IF(B$21="","",B$21)</f>
        <v/>
      </c>
      <c r="C561" s="65" t="str">
        <f>IF($C$21="","",$C$21)</f>
        <v/>
      </c>
      <c r="D561" s="66" t="str">
        <f t="shared" ca="1" si="18"/>
        <v/>
      </c>
      <c r="E561" s="67"/>
      <c r="F561" s="64">
        <f>$F$21</f>
        <v>214</v>
      </c>
      <c r="G561" s="93" t="str">
        <f>IF(G$21="","",G$21)</f>
        <v/>
      </c>
      <c r="H561" s="65" t="str">
        <f>IF($H$21="","",$H$21)</f>
        <v/>
      </c>
      <c r="I561" s="66" t="str">
        <f t="shared" ca="1" si="19"/>
        <v/>
      </c>
    </row>
    <row r="562" spans="1:19" ht="13.5" customHeight="1">
      <c r="A562" s="64">
        <f>$A$22</f>
        <v>115</v>
      </c>
      <c r="B562" s="93" t="str">
        <f>IF(B$22="","",B$22)</f>
        <v/>
      </c>
      <c r="C562" s="65" t="str">
        <f>IF($C$22="","",$C$22)</f>
        <v/>
      </c>
      <c r="D562" s="66" t="str">
        <f t="shared" ca="1" si="18"/>
        <v/>
      </c>
      <c r="E562" s="67"/>
      <c r="F562" s="64">
        <f>$F$22</f>
        <v>215</v>
      </c>
      <c r="G562" s="93" t="str">
        <f>IF(G$22="","",G$22)</f>
        <v/>
      </c>
      <c r="H562" s="65" t="str">
        <f>IF($H$22="","",$H$22)</f>
        <v/>
      </c>
      <c r="I562" s="66" t="str">
        <f t="shared" ca="1" si="19"/>
        <v/>
      </c>
      <c r="Q562" s="97" t="s">
        <v>88</v>
      </c>
      <c r="S562" s="97" t="s">
        <v>97</v>
      </c>
    </row>
    <row r="563" spans="1:19" ht="13.5" customHeight="1">
      <c r="A563" s="64">
        <f>$A$23</f>
        <v>116</v>
      </c>
      <c r="B563" s="93" t="str">
        <f>IF(B$23="","",B$23)</f>
        <v/>
      </c>
      <c r="C563" s="65" t="str">
        <f>IF($C$23="","",$C$23)</f>
        <v/>
      </c>
      <c r="D563" s="66" t="str">
        <f t="shared" ca="1" si="18"/>
        <v/>
      </c>
      <c r="E563" s="67"/>
      <c r="F563" s="64">
        <f>$F$23</f>
        <v>216</v>
      </c>
      <c r="G563" s="93" t="str">
        <f>IF(G$23="","",G$23)</f>
        <v/>
      </c>
      <c r="H563" s="65" t="str">
        <f>IF($H$23="","",$H$23)</f>
        <v/>
      </c>
      <c r="I563" s="66" t="str">
        <f t="shared" ca="1" si="19"/>
        <v/>
      </c>
      <c r="Q563" s="112" t="str">
        <f>IF(Q$23="","",Q$23)</f>
        <v/>
      </c>
      <c r="S563" s="112" t="str">
        <f>IF(S$23="","",S$23)</f>
        <v/>
      </c>
    </row>
    <row r="564" spans="1:19" ht="13.5" customHeight="1" thickBot="1">
      <c r="A564" s="64">
        <f>$A$24</f>
        <v>117</v>
      </c>
      <c r="B564" s="93" t="str">
        <f>IF(B$24="","",B$24)</f>
        <v/>
      </c>
      <c r="C564" s="65" t="str">
        <f>IF($C$24="","",$C$24)</f>
        <v/>
      </c>
      <c r="D564" s="66" t="str">
        <f t="shared" ca="1" si="18"/>
        <v/>
      </c>
      <c r="E564" s="67"/>
      <c r="F564" s="64">
        <f>$F$24</f>
        <v>217</v>
      </c>
      <c r="G564" s="93" t="str">
        <f>IF(G$24="","",G$24)</f>
        <v/>
      </c>
      <c r="H564" s="65" t="str">
        <f>IF($H$24="","",$H$24)</f>
        <v/>
      </c>
      <c r="I564" s="66" t="str">
        <f t="shared" ca="1" si="19"/>
        <v/>
      </c>
      <c r="Q564" s="105">
        <f>SUMIF($B$547:$B$597,"D",$D$547:$D$597)</f>
        <v>0</v>
      </c>
      <c r="R564" s="104">
        <f>Q564+S564</f>
        <v>0</v>
      </c>
      <c r="S564" s="106">
        <f>SUMIF($G$547:$G$597,"D",$I$547:$I$597)</f>
        <v>0</v>
      </c>
    </row>
    <row r="565" spans="1:19" ht="13.5" customHeight="1">
      <c r="A565" s="64">
        <f>$A$25</f>
        <v>118</v>
      </c>
      <c r="B565" s="93" t="str">
        <f>IF(B$25="","",B$25)</f>
        <v/>
      </c>
      <c r="C565" s="65" t="str">
        <f>IF($C$25="","",$C$25)</f>
        <v/>
      </c>
      <c r="D565" s="66" t="str">
        <f t="shared" ca="1" si="18"/>
        <v/>
      </c>
      <c r="E565" s="67"/>
      <c r="F565" s="64">
        <f>$F$25</f>
        <v>218</v>
      </c>
      <c r="G565" s="93" t="str">
        <f>IF(G$25="","",G$25)</f>
        <v/>
      </c>
      <c r="H565" s="65" t="str">
        <f>IF($H$25="","",$H$25)</f>
        <v/>
      </c>
      <c r="I565" s="66" t="str">
        <f t="shared" ca="1" si="19"/>
        <v/>
      </c>
    </row>
    <row r="566" spans="1:19" ht="13.5" customHeight="1" thickBot="1">
      <c r="A566" s="64">
        <f>$A$26</f>
        <v>119</v>
      </c>
      <c r="B566" s="93" t="str">
        <f>IF(B$26="","",B$26)</f>
        <v/>
      </c>
      <c r="C566" s="65" t="str">
        <f>IF($C$26="","",$C$26)</f>
        <v/>
      </c>
      <c r="D566" s="66" t="str">
        <f t="shared" ca="1" si="18"/>
        <v/>
      </c>
      <c r="E566" s="67"/>
      <c r="F566" s="64">
        <f>$F$26</f>
        <v>219</v>
      </c>
      <c r="G566" s="93" t="str">
        <f>IF(G$26="","",G$26)</f>
        <v/>
      </c>
      <c r="H566" s="65" t="str">
        <f>IF($H$26="","",$H$26)</f>
        <v/>
      </c>
      <c r="I566" s="66" t="str">
        <f t="shared" ca="1" si="19"/>
        <v/>
      </c>
    </row>
    <row r="567" spans="1:19" ht="13.5" customHeight="1">
      <c r="A567" s="64">
        <f>$A$27</f>
        <v>120</v>
      </c>
      <c r="B567" s="93" t="str">
        <f>IF(B$27="","",B$27)</f>
        <v/>
      </c>
      <c r="C567" s="65" t="str">
        <f>IF($C$27="","",$C$27)</f>
        <v/>
      </c>
      <c r="D567" s="66" t="str">
        <f t="shared" ca="1" si="18"/>
        <v/>
      </c>
      <c r="E567" s="67"/>
      <c r="F567" s="64">
        <f>$F$27</f>
        <v>220</v>
      </c>
      <c r="G567" s="93" t="str">
        <f>IF(G$27="","",G$27)</f>
        <v/>
      </c>
      <c r="H567" s="65" t="str">
        <f>IF($H$27="","",$H$27)</f>
        <v/>
      </c>
      <c r="I567" s="66" t="str">
        <f t="shared" ca="1" si="19"/>
        <v/>
      </c>
      <c r="Q567" s="110" t="s">
        <v>89</v>
      </c>
      <c r="S567" s="110" t="s">
        <v>98</v>
      </c>
    </row>
    <row r="568" spans="1:19" ht="13.5" customHeight="1">
      <c r="A568" s="64">
        <f>$A$28</f>
        <v>121</v>
      </c>
      <c r="B568" s="93" t="str">
        <f>IF(B$28="","",B$28)</f>
        <v/>
      </c>
      <c r="C568" s="65" t="str">
        <f>IF($C$28="","",$C$28)</f>
        <v/>
      </c>
      <c r="D568" s="66" t="str">
        <f t="shared" ca="1" si="18"/>
        <v/>
      </c>
      <c r="E568" s="67"/>
      <c r="F568" s="64">
        <f>$F$28</f>
        <v>221</v>
      </c>
      <c r="G568" s="93" t="str">
        <f>IF(G$28="","",G$28)</f>
        <v/>
      </c>
      <c r="H568" s="65" t="str">
        <f>IF($H$28="","",$H$28)</f>
        <v/>
      </c>
      <c r="I568" s="66" t="str">
        <f t="shared" ca="1" si="19"/>
        <v/>
      </c>
      <c r="Q568" s="112" t="str">
        <f>IF(Q$28="","",Q$28)</f>
        <v/>
      </c>
      <c r="S568" s="112" t="str">
        <f>IF(S$28="","",S$28)</f>
        <v/>
      </c>
    </row>
    <row r="569" spans="1:19" ht="13.5" customHeight="1" thickBot="1">
      <c r="A569" s="64">
        <f>$A$29</f>
        <v>122</v>
      </c>
      <c r="B569" s="93" t="str">
        <f>IF(B$29="","",B$29)</f>
        <v/>
      </c>
      <c r="C569" s="65" t="str">
        <f>IF($C$29="","",$C$29)</f>
        <v/>
      </c>
      <c r="D569" s="66" t="str">
        <f t="shared" ca="1" si="18"/>
        <v/>
      </c>
      <c r="E569" s="67"/>
      <c r="F569" s="64">
        <f>$F$29</f>
        <v>222</v>
      </c>
      <c r="G569" s="93" t="str">
        <f>IF(G$29="","",G$29)</f>
        <v/>
      </c>
      <c r="H569" s="65" t="str">
        <f>IF($H$29="","",$H$29)</f>
        <v/>
      </c>
      <c r="I569" s="66" t="str">
        <f t="shared" ca="1" si="19"/>
        <v/>
      </c>
      <c r="Q569" s="105">
        <f>SUMIF($B$547:$B$597,"E",$D$547:$D$597)</f>
        <v>0</v>
      </c>
      <c r="R569" s="104">
        <f>Q569+S569</f>
        <v>0</v>
      </c>
      <c r="S569" s="106">
        <f>SUMIF($G$547:$G$597,"E",$I$547:$I$597)</f>
        <v>0</v>
      </c>
    </row>
    <row r="570" spans="1:19" ht="13.5" customHeight="1">
      <c r="A570" s="64">
        <f>$A$30</f>
        <v>123</v>
      </c>
      <c r="B570" s="93" t="str">
        <f>IF(B$30="","",B$30)</f>
        <v/>
      </c>
      <c r="C570" s="65" t="str">
        <f>IF($C$30="","",$C$30)</f>
        <v/>
      </c>
      <c r="D570" s="66" t="str">
        <f t="shared" ca="1" si="18"/>
        <v/>
      </c>
      <c r="E570" s="67"/>
      <c r="F570" s="64">
        <f>$F$30</f>
        <v>223</v>
      </c>
      <c r="G570" s="93" t="str">
        <f>IF(G$30="","",G$30)</f>
        <v/>
      </c>
      <c r="H570" s="65" t="str">
        <f>IF($H$30="","",$H$30)</f>
        <v/>
      </c>
      <c r="I570" s="66" t="str">
        <f t="shared" ca="1" si="19"/>
        <v/>
      </c>
    </row>
    <row r="571" spans="1:19" ht="13.5" customHeight="1" thickBot="1">
      <c r="A571" s="64">
        <f>$A$31</f>
        <v>124</v>
      </c>
      <c r="B571" s="93" t="str">
        <f>IF(B$31="","",B$31)</f>
        <v/>
      </c>
      <c r="C571" s="65" t="str">
        <f>IF($C$31="","",$C$31)</f>
        <v/>
      </c>
      <c r="D571" s="66" t="str">
        <f t="shared" ca="1" si="18"/>
        <v/>
      </c>
      <c r="E571" s="67"/>
      <c r="F571" s="64">
        <f>$F$31</f>
        <v>224</v>
      </c>
      <c r="G571" s="93" t="str">
        <f>IF(G$31="","",G$31)</f>
        <v/>
      </c>
      <c r="H571" s="65" t="str">
        <f>IF($H$31="","",$H$31)</f>
        <v/>
      </c>
      <c r="I571" s="66" t="str">
        <f t="shared" ca="1" si="19"/>
        <v/>
      </c>
    </row>
    <row r="572" spans="1:19" ht="13.5" customHeight="1">
      <c r="A572" s="64">
        <f>$A$32</f>
        <v>125</v>
      </c>
      <c r="B572" s="154" t="str">
        <f>IF(B$32="","",B$32)</f>
        <v>B</v>
      </c>
      <c r="C572" s="65" t="str">
        <f>IF($C$32="","",$C$32)</f>
        <v>Lohn Nebenerwerb</v>
      </c>
      <c r="D572" s="66">
        <f t="shared" ca="1" si="18"/>
        <v>0</v>
      </c>
      <c r="E572" s="67"/>
      <c r="F572" s="64">
        <f>$F$32</f>
        <v>225</v>
      </c>
      <c r="G572" s="154" t="str">
        <f>IF(G$32="","",G$32)</f>
        <v>B</v>
      </c>
      <c r="H572" s="65" t="str">
        <f>IF($H$32="","",$H$32)</f>
        <v>Nahrung, Kleider, Körperpflege</v>
      </c>
      <c r="I572" s="66">
        <f t="shared" ca="1" si="19"/>
        <v>0</v>
      </c>
      <c r="Q572" s="98" t="s">
        <v>90</v>
      </c>
      <c r="S572" s="98" t="s">
        <v>99</v>
      </c>
    </row>
    <row r="573" spans="1:19" ht="13.5" customHeight="1">
      <c r="A573" s="64">
        <f>$A$33</f>
        <v>126</v>
      </c>
      <c r="B573" s="93" t="str">
        <f>IF(B$33="","",B$33)</f>
        <v/>
      </c>
      <c r="C573" s="65" t="str">
        <f>IF($C$33="","",$C$33)</f>
        <v/>
      </c>
      <c r="D573" s="66" t="str">
        <f t="shared" ca="1" si="18"/>
        <v/>
      </c>
      <c r="E573" s="67"/>
      <c r="F573" s="64">
        <f>$F$33</f>
        <v>226</v>
      </c>
      <c r="G573" s="154" t="str">
        <f>IF(G$33="","",G$33)</f>
        <v>B</v>
      </c>
      <c r="H573" s="65" t="str">
        <f>IF($H$33="","",$H$33)</f>
        <v>Autokosten</v>
      </c>
      <c r="I573" s="66">
        <f t="shared" ca="1" si="19"/>
        <v>0</v>
      </c>
      <c r="Q573" s="112" t="str">
        <f>IF(Q$33="","",Q$33)</f>
        <v/>
      </c>
      <c r="S573" s="112" t="str">
        <f>IF(S$33="","",S$33)</f>
        <v/>
      </c>
    </row>
    <row r="574" spans="1:19" ht="13.5" customHeight="1" thickBot="1">
      <c r="A574" s="64">
        <f>$A$34</f>
        <v>127</v>
      </c>
      <c r="B574" s="93" t="str">
        <f>IF(B$34="","",B$34)</f>
        <v/>
      </c>
      <c r="C574" s="65" t="str">
        <f>IF($C$34="","",$C$34)</f>
        <v/>
      </c>
      <c r="D574" s="66" t="str">
        <f t="shared" ca="1" si="18"/>
        <v/>
      </c>
      <c r="E574" s="67"/>
      <c r="F574" s="64">
        <f>$F$34</f>
        <v>227</v>
      </c>
      <c r="G574" s="154" t="str">
        <f>IF(G$34="","",G$34)</f>
        <v>B</v>
      </c>
      <c r="H574" s="65" t="str">
        <f>IF($H$34="","",$H$34)</f>
        <v>Gesundheit, Krankenkasse, Zahnarzt</v>
      </c>
      <c r="I574" s="66">
        <f t="shared" ca="1" si="19"/>
        <v>0</v>
      </c>
      <c r="Q574" s="105">
        <f>SUMIF($B$547:$B$597,"F",$D$547:$D$597)</f>
        <v>0</v>
      </c>
      <c r="R574" s="104">
        <f>Q574+S574</f>
        <v>0</v>
      </c>
      <c r="S574" s="106">
        <f>SUMIF($G$547:$G$597,"F",$I$547:$I$597)</f>
        <v>0</v>
      </c>
    </row>
    <row r="575" spans="1:19" ht="13.5" customHeight="1">
      <c r="A575" s="64">
        <f>$A$35</f>
        <v>128</v>
      </c>
      <c r="B575" s="93" t="str">
        <f>IF(B$35="","",B$35)</f>
        <v/>
      </c>
      <c r="C575" s="65" t="str">
        <f>IF($C$35="","",$C$35)</f>
        <v/>
      </c>
      <c r="D575" s="66" t="str">
        <f t="shared" ca="1" si="18"/>
        <v/>
      </c>
      <c r="E575" s="67"/>
      <c r="F575" s="64">
        <f>$F$35</f>
        <v>228</v>
      </c>
      <c r="G575" s="154" t="str">
        <f>IF(G$35="","",G$35)</f>
        <v>B</v>
      </c>
      <c r="H575" s="65" t="str">
        <f>IF($H$35="","",$H$35)</f>
        <v>Versicherungen allgemein</v>
      </c>
      <c r="I575" s="66">
        <f t="shared" ca="1" si="19"/>
        <v>0</v>
      </c>
    </row>
    <row r="576" spans="1:19" ht="13.5" customHeight="1" thickBot="1">
      <c r="A576" s="64">
        <f>$A$36</f>
        <v>129</v>
      </c>
      <c r="B576" s="93" t="str">
        <f>IF(B$36="","",B$36)</f>
        <v/>
      </c>
      <c r="C576" s="65" t="str">
        <f>IF($C$36="","",$C$36)</f>
        <v/>
      </c>
      <c r="D576" s="66" t="str">
        <f t="shared" ca="1" si="18"/>
        <v/>
      </c>
      <c r="E576" s="67"/>
      <c r="F576" s="64">
        <f>$F$36</f>
        <v>229</v>
      </c>
      <c r="G576" s="154" t="str">
        <f>IF(G$36="","",G$36)</f>
        <v>B</v>
      </c>
      <c r="H576" s="65" t="str">
        <f>IF($H$36="","",$H$36)</f>
        <v>Büro, Computer, Fotos</v>
      </c>
      <c r="I576" s="66">
        <f t="shared" ca="1" si="19"/>
        <v>0</v>
      </c>
    </row>
    <row r="577" spans="1:19" ht="13.5" customHeight="1">
      <c r="A577" s="64">
        <f>$A$37</f>
        <v>130</v>
      </c>
      <c r="B577" s="93" t="str">
        <f>IF(B$37="","",B$37)</f>
        <v/>
      </c>
      <c r="C577" s="65" t="str">
        <f>IF($C$37="","",$C$37)</f>
        <v/>
      </c>
      <c r="D577" s="66" t="str">
        <f t="shared" ca="1" si="18"/>
        <v/>
      </c>
      <c r="E577" s="67"/>
      <c r="F577" s="64">
        <f>$F$37</f>
        <v>230</v>
      </c>
      <c r="G577" s="154" t="str">
        <f>IF(G$37="","",G$37)</f>
        <v>B</v>
      </c>
      <c r="H577" s="65" t="str">
        <f>IF($H$37="","",$H$37)</f>
        <v>Ferien, Ausflüge</v>
      </c>
      <c r="I577" s="66">
        <f t="shared" ca="1" si="19"/>
        <v>0</v>
      </c>
      <c r="Q577" s="99" t="s">
        <v>91</v>
      </c>
      <c r="S577" s="99" t="s">
        <v>100</v>
      </c>
    </row>
    <row r="578" spans="1:19" ht="13.5" customHeight="1">
      <c r="A578" s="64">
        <f>$A$38</f>
        <v>131</v>
      </c>
      <c r="B578" s="93" t="str">
        <f>IF(B$38="","",B$38)</f>
        <v/>
      </c>
      <c r="C578" s="65" t="str">
        <f>IF($C$38="","",$C$38)</f>
        <v/>
      </c>
      <c r="D578" s="66" t="str">
        <f t="shared" ca="1" si="18"/>
        <v/>
      </c>
      <c r="E578" s="67"/>
      <c r="F578" s="64">
        <f>$F$38</f>
        <v>231</v>
      </c>
      <c r="G578" s="154" t="str">
        <f>IF(G$38="","",G$38)</f>
        <v>B</v>
      </c>
      <c r="H578" s="65" t="str">
        <f>IF($H$38="","",$H$38)</f>
        <v>Freizeit, Vergnügen, Unterhaltung</v>
      </c>
      <c r="I578" s="66">
        <f t="shared" ca="1" si="19"/>
        <v>0</v>
      </c>
      <c r="Q578" s="112" t="str">
        <f>IF(Q$38="","",Q$38)</f>
        <v/>
      </c>
      <c r="S578" s="112" t="str">
        <f>IF(S$38="","",S$38)</f>
        <v/>
      </c>
    </row>
    <row r="579" spans="1:19" ht="13.5" customHeight="1" thickBot="1">
      <c r="A579" s="64">
        <f>$A$39</f>
        <v>132</v>
      </c>
      <c r="B579" s="154" t="str">
        <f>IF(B$39="","",B$39)</f>
        <v>B</v>
      </c>
      <c r="C579" s="65" t="str">
        <f>IF($C$39="","",$C$39)</f>
        <v>Feuerwehrsold</v>
      </c>
      <c r="D579" s="66">
        <f t="shared" ca="1" si="18"/>
        <v>0</v>
      </c>
      <c r="E579" s="67"/>
      <c r="F579" s="64">
        <f>$F$39</f>
        <v>232</v>
      </c>
      <c r="G579" s="154" t="str">
        <f>IF(G$39="","",G$39)</f>
        <v>B</v>
      </c>
      <c r="H579" s="65" t="str">
        <f>IF($H$39="","",$H$39)</f>
        <v>Telefon</v>
      </c>
      <c r="I579" s="66">
        <f t="shared" ca="1" si="19"/>
        <v>0</v>
      </c>
      <c r="Q579" s="105">
        <f>SUMIF($B$547:$B$597,"G",$D$547:$D$597)</f>
        <v>0</v>
      </c>
      <c r="R579" s="104">
        <f>Q579+S579</f>
        <v>0</v>
      </c>
      <c r="S579" s="106">
        <f>SUMIF($G$547:$G$597,"G",$I$547:$I$597)</f>
        <v>0</v>
      </c>
    </row>
    <row r="580" spans="1:19" ht="13.5" customHeight="1">
      <c r="A580" s="64">
        <f>$A$40</f>
        <v>133</v>
      </c>
      <c r="B580" s="93" t="str">
        <f>IF(B$40="","",B$40)</f>
        <v/>
      </c>
      <c r="C580" s="65" t="str">
        <f>IF($C$40="","",$C$40)</f>
        <v/>
      </c>
      <c r="D580" s="66" t="str">
        <f t="shared" ca="1" si="18"/>
        <v/>
      </c>
      <c r="E580" s="67"/>
      <c r="F580" s="64">
        <f>$F$40</f>
        <v>233</v>
      </c>
      <c r="G580" s="154" t="str">
        <f>IF(G$40="","",G$40)</f>
        <v>B</v>
      </c>
      <c r="H580" s="65" t="str">
        <f>IF($H$40="","",$H$40)</f>
        <v>Öffentlicher Verkehr und Velo</v>
      </c>
      <c r="I580" s="66">
        <f t="shared" ca="1" si="19"/>
        <v>0</v>
      </c>
    </row>
    <row r="581" spans="1:19" ht="13.5" customHeight="1" thickBot="1">
      <c r="A581" s="64">
        <f>$A$41</f>
        <v>134</v>
      </c>
      <c r="B581" s="93" t="str">
        <f>IF(B$41="","",B$41)</f>
        <v/>
      </c>
      <c r="C581" s="65" t="str">
        <f>IF($C$41="","",$C$41)</f>
        <v/>
      </c>
      <c r="D581" s="66" t="str">
        <f t="shared" ca="1" si="18"/>
        <v/>
      </c>
      <c r="E581" s="67"/>
      <c r="F581" s="64">
        <f>$F$41</f>
        <v>234</v>
      </c>
      <c r="G581" s="154" t="str">
        <f>IF(G$41="","",G$41)</f>
        <v>B</v>
      </c>
      <c r="H581" s="65" t="str">
        <f>IF($H$41="","",$H$41)</f>
        <v>Möbel, Wohnungseinrichtung</v>
      </c>
      <c r="I581" s="66">
        <f t="shared" ca="1" si="19"/>
        <v>0</v>
      </c>
    </row>
    <row r="582" spans="1:19" ht="13.5" customHeight="1">
      <c r="A582" s="64">
        <f>$A$42</f>
        <v>135</v>
      </c>
      <c r="B582" s="93" t="str">
        <f>IF(B$42="","",B$42)</f>
        <v/>
      </c>
      <c r="C582" s="65" t="str">
        <f>IF($C$42="","",$C$42)</f>
        <v/>
      </c>
      <c r="D582" s="66" t="str">
        <f t="shared" ca="1" si="18"/>
        <v/>
      </c>
      <c r="E582" s="67"/>
      <c r="F582" s="64">
        <f>$F$42</f>
        <v>235</v>
      </c>
      <c r="G582" s="154" t="str">
        <f>IF(G$42="","",G$42)</f>
        <v>B</v>
      </c>
      <c r="H582" s="65" t="str">
        <f>IF($H$42="","",$H$42)</f>
        <v>Kosten IT Consulting / Webdesign</v>
      </c>
      <c r="I582" s="66">
        <f t="shared" ca="1" si="19"/>
        <v>0</v>
      </c>
      <c r="Q582" s="100" t="s">
        <v>92</v>
      </c>
      <c r="S582" s="100" t="s">
        <v>101</v>
      </c>
    </row>
    <row r="583" spans="1:19" ht="13.5" customHeight="1">
      <c r="A583" s="64">
        <f>$A$43</f>
        <v>136</v>
      </c>
      <c r="B583" s="93" t="str">
        <f>IF(B$43="","",B$43)</f>
        <v/>
      </c>
      <c r="C583" s="65" t="str">
        <f>IF($C$43="","",$C$43)</f>
        <v/>
      </c>
      <c r="D583" s="66" t="str">
        <f t="shared" ca="1" si="18"/>
        <v/>
      </c>
      <c r="E583" s="67"/>
      <c r="F583" s="64">
        <f>$F$43</f>
        <v>236</v>
      </c>
      <c r="G583" s="154" t="str">
        <f>IF(G$43="","",G$43)</f>
        <v>B</v>
      </c>
      <c r="H583" s="65" t="str">
        <f>IF($H$43="","",$H$43)</f>
        <v>Schule und Bildung Kinder</v>
      </c>
      <c r="I583" s="66">
        <f t="shared" ca="1" si="19"/>
        <v>0</v>
      </c>
      <c r="Q583" s="112" t="str">
        <f>IF(Q$43="","",Q$43)</f>
        <v/>
      </c>
      <c r="S583" s="112" t="str">
        <f>IF(S$43="","",S$43)</f>
        <v/>
      </c>
    </row>
    <row r="584" spans="1:19" ht="13.5" customHeight="1" thickBot="1">
      <c r="A584" s="64">
        <f>$A$44</f>
        <v>137</v>
      </c>
      <c r="B584" s="93" t="str">
        <f>IF(B$44="","",B$44)</f>
        <v/>
      </c>
      <c r="C584" s="65" t="str">
        <f>IF($C$44="","",$C$44)</f>
        <v/>
      </c>
      <c r="D584" s="66" t="str">
        <f t="shared" ca="1" si="18"/>
        <v/>
      </c>
      <c r="E584" s="67"/>
      <c r="F584" s="64">
        <f>$F$44</f>
        <v>237</v>
      </c>
      <c r="G584" s="154" t="str">
        <f>IF(G$44="","",G$44)</f>
        <v>B</v>
      </c>
      <c r="H584" s="65" t="str">
        <f>IF($H$44="","",$H$44)</f>
        <v>Org. Freizeitaktivitäten der Kinder</v>
      </c>
      <c r="I584" s="66">
        <f t="shared" ca="1" si="19"/>
        <v>0</v>
      </c>
      <c r="Q584" s="105">
        <f>SUMIF($B$547:$B$597,"H",$D$547:$D$597)</f>
        <v>0</v>
      </c>
      <c r="R584" s="104">
        <f>Q584+S584</f>
        <v>0</v>
      </c>
      <c r="S584" s="106">
        <f>SUMIF($G$547:$G$597,"H",$I$547:$I$597)</f>
        <v>0</v>
      </c>
    </row>
    <row r="585" spans="1:19" ht="13.5" customHeight="1">
      <c r="A585" s="64">
        <f>$A$45</f>
        <v>138</v>
      </c>
      <c r="B585" s="93" t="str">
        <f>IF(B$45="","",B$45)</f>
        <v/>
      </c>
      <c r="C585" s="65" t="str">
        <f>IF($C$45="","",$C$45)</f>
        <v/>
      </c>
      <c r="D585" s="66" t="str">
        <f t="shared" ca="1" si="18"/>
        <v/>
      </c>
      <c r="E585" s="67"/>
      <c r="F585" s="64">
        <f>$F$45</f>
        <v>238</v>
      </c>
      <c r="G585" s="93" t="str">
        <f>IF(G$45="","",G$45)</f>
        <v/>
      </c>
      <c r="H585" s="65" t="str">
        <f>IF($H$45="","",$H$45)</f>
        <v/>
      </c>
      <c r="I585" s="66" t="str">
        <f t="shared" ca="1" si="19"/>
        <v/>
      </c>
    </row>
    <row r="586" spans="1:19" ht="13.5" customHeight="1" thickBot="1">
      <c r="A586" s="64">
        <f>$A$46</f>
        <v>139</v>
      </c>
      <c r="B586" s="93" t="str">
        <f>IF(B$46="","",B$46)</f>
        <v/>
      </c>
      <c r="C586" s="65" t="str">
        <f>IF($C$46="","",$C$46)</f>
        <v/>
      </c>
      <c r="D586" s="66" t="str">
        <f t="shared" ca="1" si="18"/>
        <v/>
      </c>
      <c r="E586" s="67"/>
      <c r="F586" s="64">
        <f>$F$46</f>
        <v>239</v>
      </c>
      <c r="G586" s="154" t="str">
        <f>IF(G$46="","",G$46)</f>
        <v>B</v>
      </c>
      <c r="H586" s="65" t="str">
        <f>IF($H$46="","",$H$46)</f>
        <v>Wohltätige Spenden</v>
      </c>
      <c r="I586" s="66">
        <f t="shared" ca="1" si="19"/>
        <v>0</v>
      </c>
    </row>
    <row r="587" spans="1:19" ht="13.5" customHeight="1">
      <c r="A587" s="64">
        <f>$A$47</f>
        <v>140</v>
      </c>
      <c r="B587" s="93" t="str">
        <f>IF(B$47="","",B$47)</f>
        <v/>
      </c>
      <c r="C587" s="65" t="str">
        <f>IF($C$47="","",$C$47)</f>
        <v/>
      </c>
      <c r="D587" s="66" t="str">
        <f t="shared" ca="1" si="18"/>
        <v/>
      </c>
      <c r="E587" s="67"/>
      <c r="F587" s="64">
        <f>$F$47</f>
        <v>240</v>
      </c>
      <c r="G587" s="154" t="str">
        <f>IF(G$47="","",G$47)</f>
        <v>B</v>
      </c>
      <c r="H587" s="65" t="str">
        <f>IF($H$47="","",$H$47)</f>
        <v>Vorsorgesparen 3a / PK Einkauf</v>
      </c>
      <c r="I587" s="66">
        <f t="shared" ca="1" si="19"/>
        <v>0</v>
      </c>
      <c r="Q587" s="101" t="s">
        <v>93</v>
      </c>
      <c r="S587" s="101" t="s">
        <v>102</v>
      </c>
    </row>
    <row r="588" spans="1:19" ht="13.5" customHeight="1">
      <c r="A588" s="64">
        <f>$A$48</f>
        <v>141</v>
      </c>
      <c r="B588" s="93" t="str">
        <f>IF(B$48="","",B$48)</f>
        <v/>
      </c>
      <c r="C588" s="65" t="str">
        <f>IF($C$48="","",$C$48)</f>
        <v/>
      </c>
      <c r="D588" s="66" t="str">
        <f t="shared" ca="1" si="18"/>
        <v/>
      </c>
      <c r="E588" s="67"/>
      <c r="F588" s="64">
        <f>$F$48</f>
        <v>241</v>
      </c>
      <c r="G588" s="93" t="str">
        <f>IF(G$48="","",G$48)</f>
        <v/>
      </c>
      <c r="H588" s="65" t="str">
        <f>IF($H$48="","",$H$48)</f>
        <v/>
      </c>
      <c r="I588" s="66" t="str">
        <f t="shared" ca="1" si="19"/>
        <v/>
      </c>
      <c r="Q588" s="112" t="str">
        <f>IF(Q$48="","",Q$48)</f>
        <v/>
      </c>
      <c r="S588" s="112" t="str">
        <f>IF(S$48="","",S$48)</f>
        <v/>
      </c>
    </row>
    <row r="589" spans="1:19" ht="13.5" customHeight="1" thickBot="1">
      <c r="A589" s="64">
        <f>$A$49</f>
        <v>142</v>
      </c>
      <c r="B589" s="93" t="str">
        <f>IF(B$49="","",B$49)</f>
        <v/>
      </c>
      <c r="C589" s="65" t="str">
        <f>IF($C$49="","",$C$49)</f>
        <v/>
      </c>
      <c r="D589" s="66" t="str">
        <f t="shared" ca="1" si="18"/>
        <v/>
      </c>
      <c r="E589" s="67"/>
      <c r="F589" s="64">
        <f>$F$49</f>
        <v>242</v>
      </c>
      <c r="G589" s="93" t="str">
        <f>IF(G$49="","",G$49)</f>
        <v/>
      </c>
      <c r="H589" s="65" t="str">
        <f>IF($H$49="","",$H$49)</f>
        <v/>
      </c>
      <c r="I589" s="66" t="str">
        <f t="shared" ca="1" si="19"/>
        <v/>
      </c>
      <c r="Q589" s="105">
        <f>SUMIF($B$547:$B$597,"I",$D$547:$D$597)</f>
        <v>0</v>
      </c>
      <c r="R589" s="104">
        <f>Q589+S589</f>
        <v>0</v>
      </c>
      <c r="S589" s="106">
        <f>SUMIF($G$547:$G$597,"I",$I$547:$I$597)</f>
        <v>0</v>
      </c>
    </row>
    <row r="590" spans="1:19" ht="13.5" customHeight="1">
      <c r="A590" s="64">
        <f>$A$50</f>
        <v>143</v>
      </c>
      <c r="B590" s="93" t="str">
        <f>IF(B$50="","",B$50)</f>
        <v/>
      </c>
      <c r="C590" s="65" t="str">
        <f>IF($C$50="","",$C$50)</f>
        <v/>
      </c>
      <c r="D590" s="66" t="str">
        <f t="shared" ca="1" si="18"/>
        <v/>
      </c>
      <c r="E590" s="67"/>
      <c r="F590" s="64">
        <f>$F$50</f>
        <v>243</v>
      </c>
      <c r="G590" s="154" t="str">
        <f>IF(G$50="","",G$50)</f>
        <v>B</v>
      </c>
      <c r="H590" s="65" t="str">
        <f>IF($H$50="","",$H$50)</f>
        <v>Wasser</v>
      </c>
      <c r="I590" s="66">
        <f t="shared" ca="1" si="19"/>
        <v>0</v>
      </c>
    </row>
    <row r="591" spans="1:19" ht="13.5" customHeight="1" thickBot="1">
      <c r="A591" s="64">
        <f>$A$51</f>
        <v>144</v>
      </c>
      <c r="B591" s="93" t="str">
        <f>IF(B$51="","",B$51)</f>
        <v/>
      </c>
      <c r="C591" s="65" t="str">
        <f>IF($C$51="","",$C$51)</f>
        <v/>
      </c>
      <c r="D591" s="66" t="str">
        <f t="shared" ca="1" si="18"/>
        <v/>
      </c>
      <c r="E591" s="67"/>
      <c r="F591" s="64">
        <f>$F$51</f>
        <v>244</v>
      </c>
      <c r="G591" s="154" t="str">
        <f>IF(G$51="","",G$51)</f>
        <v>B</v>
      </c>
      <c r="H591" s="65" t="str">
        <f>IF($H$51="","",$H$51)</f>
        <v>Strom</v>
      </c>
      <c r="I591" s="66">
        <f t="shared" ca="1" si="19"/>
        <v>0</v>
      </c>
    </row>
    <row r="592" spans="1:19" ht="13.5" customHeight="1">
      <c r="A592" s="64">
        <f>$A$52</f>
        <v>145</v>
      </c>
      <c r="B592" s="93" t="str">
        <f>IF(B$52="","",B$52)</f>
        <v/>
      </c>
      <c r="C592" s="65" t="str">
        <f>IF($C$52="","",$C$52)</f>
        <v/>
      </c>
      <c r="D592" s="66" t="str">
        <f t="shared" ca="1" si="18"/>
        <v/>
      </c>
      <c r="E592" s="67"/>
      <c r="F592" s="64">
        <f>$F$52</f>
        <v>245</v>
      </c>
      <c r="G592" s="154" t="str">
        <f>IF(G$52="","",G$52)</f>
        <v>B</v>
      </c>
      <c r="H592" s="65" t="str">
        <f>IF($H$52="","",$H$52)</f>
        <v>Geschenke</v>
      </c>
      <c r="I592" s="66">
        <f t="shared" ca="1" si="19"/>
        <v>0</v>
      </c>
      <c r="Q592" s="102" t="s">
        <v>94</v>
      </c>
      <c r="S592" s="102" t="s">
        <v>103</v>
      </c>
    </row>
    <row r="593" spans="1:19" ht="13.5" customHeight="1">
      <c r="A593" s="64">
        <f>$A$53</f>
        <v>146</v>
      </c>
      <c r="B593" s="93" t="str">
        <f>IF(B$53="","",B$53)</f>
        <v/>
      </c>
      <c r="C593" s="65" t="str">
        <f>IF($C$53="","",$C$53)</f>
        <v/>
      </c>
      <c r="D593" s="66" t="str">
        <f t="shared" ca="1" si="18"/>
        <v/>
      </c>
      <c r="E593" s="67"/>
      <c r="F593" s="64">
        <f>$F$53</f>
        <v>246</v>
      </c>
      <c r="G593" s="154" t="str">
        <f>IF(G$53="","",G$53)</f>
        <v>B</v>
      </c>
      <c r="H593" s="65" t="str">
        <f>IF($H$53="","",$H$53)</f>
        <v>Erwachsenenbildung</v>
      </c>
      <c r="I593" s="66">
        <f t="shared" ca="1" si="19"/>
        <v>0</v>
      </c>
      <c r="Q593" s="112" t="str">
        <f>IF(Q$53="","",Q$53)</f>
        <v/>
      </c>
      <c r="S593" s="112" t="str">
        <f>IF(S$53="","",S$53)</f>
        <v/>
      </c>
    </row>
    <row r="594" spans="1:19" ht="13.5" customHeight="1" thickBot="1">
      <c r="A594" s="64">
        <f>$A$54</f>
        <v>147</v>
      </c>
      <c r="B594" s="154" t="str">
        <f>IF(B$54="","",B$54)</f>
        <v>B</v>
      </c>
      <c r="C594" s="65" t="str">
        <f>IF($C$54="","",$C$54)</f>
        <v>Diverse Privateinnahmen</v>
      </c>
      <c r="D594" s="66">
        <f t="shared" ca="1" si="18"/>
        <v>0</v>
      </c>
      <c r="E594" s="67"/>
      <c r="F594" s="64">
        <f>$F$54</f>
        <v>247</v>
      </c>
      <c r="G594" s="154" t="str">
        <f>IF(G$54="","",G$54)</f>
        <v>B</v>
      </c>
      <c r="H594" s="65" t="str">
        <f>IF($H$54="","",$H$54)</f>
        <v>Diverse Privatausgaben</v>
      </c>
      <c r="I594" s="66">
        <f t="shared" ca="1" si="19"/>
        <v>0</v>
      </c>
      <c r="Q594" s="105">
        <f>SUMIF($B$547:$B$597,"K",$D$547:$D$597)</f>
        <v>0</v>
      </c>
      <c r="R594" s="104">
        <f>Q594+S594</f>
        <v>0</v>
      </c>
      <c r="S594" s="106">
        <f>SUMIF($G$547:$G$597,"K",$I$547:$I$597)</f>
        <v>0</v>
      </c>
    </row>
    <row r="595" spans="1:19" ht="13.5" customHeight="1">
      <c r="A595" s="64">
        <f>$A$55</f>
        <v>148</v>
      </c>
      <c r="B595" s="93" t="str">
        <f>IF(B$55="","",B$55)</f>
        <v/>
      </c>
      <c r="C595" s="65" t="str">
        <f>IF($C$55="","",$C$55)</f>
        <v/>
      </c>
      <c r="D595" s="66" t="str">
        <f t="shared" ca="1" si="18"/>
        <v/>
      </c>
      <c r="E595" s="67"/>
      <c r="F595" s="64">
        <f>$F$55</f>
        <v>248</v>
      </c>
      <c r="G595" s="154" t="str">
        <f>IF(G$55="","",G$55)</f>
        <v>B</v>
      </c>
      <c r="H595" s="65" t="str">
        <f>IF($H$55="","",$H$55)</f>
        <v>Private Vereinsbeiträge</v>
      </c>
      <c r="I595" s="66">
        <f t="shared" ca="1" si="19"/>
        <v>0</v>
      </c>
    </row>
    <row r="596" spans="1:19" ht="13.5" customHeight="1" thickBot="1">
      <c r="A596" s="64">
        <f>$A$56</f>
        <v>149</v>
      </c>
      <c r="B596" s="93" t="str">
        <f>IF(B$56="","",B$56)</f>
        <v/>
      </c>
      <c r="C596" s="65" t="str">
        <f>IF($C$56="","",$C$56)</f>
        <v/>
      </c>
      <c r="D596" s="66" t="str">
        <f t="shared" ca="1" si="18"/>
        <v/>
      </c>
      <c r="E596" s="67"/>
      <c r="F596" s="64">
        <f>$F$56</f>
        <v>249</v>
      </c>
      <c r="G596" s="154" t="str">
        <f>IF(G$56="","",G$56)</f>
        <v>B</v>
      </c>
      <c r="H596" s="65" t="str">
        <f>IF($H$56="","",$H$56)</f>
        <v>Spesen Vermögensverwaltung</v>
      </c>
      <c r="I596" s="66">
        <f t="shared" ca="1" si="19"/>
        <v>0</v>
      </c>
    </row>
    <row r="597" spans="1:19" ht="13.5" customHeight="1" thickBot="1">
      <c r="A597" s="64">
        <f>$A$57</f>
        <v>150</v>
      </c>
      <c r="B597" s="154" t="str">
        <f>IF(B$57="","",B$57)</f>
        <v>B</v>
      </c>
      <c r="C597" s="65" t="str">
        <f>IF($C$57="","",$C$57)</f>
        <v>Zinsen, Zinssteuererstattungen</v>
      </c>
      <c r="D597" s="66">
        <f t="shared" ca="1" si="18"/>
        <v>0</v>
      </c>
      <c r="E597" s="67"/>
      <c r="F597" s="64">
        <f>$F$57</f>
        <v>250</v>
      </c>
      <c r="G597" s="154" t="str">
        <f>IF(G$57="","",G$57)</f>
        <v>B</v>
      </c>
      <c r="H597" s="65" t="str">
        <f>IF($H$57="","",$H$57)</f>
        <v>Steuern</v>
      </c>
      <c r="I597" s="66">
        <f t="shared" ca="1" si="19"/>
        <v>0</v>
      </c>
      <c r="L597" s="119">
        <f ca="1">L549+L554+L559+L564+L569+L574+L579+L584+L589+L594</f>
        <v>0</v>
      </c>
      <c r="M597" s="120" t="s">
        <v>111</v>
      </c>
      <c r="N597" s="121">
        <f ca="1">N549+N554+N559+N564+N569+N574+N579+N584+N589+N594</f>
        <v>0</v>
      </c>
      <c r="Q597" s="119">
        <f ca="1">Q549+Q554+Q559+Q564+Q569+Q574+Q579+Q584+Q589+Q594</f>
        <v>0</v>
      </c>
      <c r="R597" s="120" t="s">
        <v>111</v>
      </c>
      <c r="S597" s="121">
        <f ca="1">S549+S554+S559+S564+S569+S574+S579+S584+S589+S594</f>
        <v>0</v>
      </c>
    </row>
    <row r="598" spans="1:19" ht="13.5" customHeight="1" thickTop="1" thickBot="1">
      <c r="A598" s="68" t="s">
        <v>38</v>
      </c>
      <c r="B598" s="91"/>
      <c r="C598" s="69"/>
      <c r="D598" s="70">
        <f ca="1">SUM(D547:D597)</f>
        <v>0</v>
      </c>
      <c r="F598" s="68" t="s">
        <v>39</v>
      </c>
      <c r="G598" s="91"/>
      <c r="H598" s="69"/>
      <c r="I598" s="70">
        <f ca="1">SUM(I547:I597)</f>
        <v>0</v>
      </c>
      <c r="L598" s="117">
        <f ca="1">$D$598</f>
        <v>0</v>
      </c>
      <c r="M598" s="41" t="s">
        <v>110</v>
      </c>
      <c r="N598" s="116">
        <f ca="1">$I$598</f>
        <v>0</v>
      </c>
      <c r="Q598" s="117">
        <f ca="1">$D$598</f>
        <v>0</v>
      </c>
      <c r="R598" s="41" t="s">
        <v>110</v>
      </c>
      <c r="S598" s="116">
        <f ca="1">$I$598</f>
        <v>0</v>
      </c>
    </row>
    <row r="599" spans="1:19" ht="13.5" customHeight="1" thickTop="1">
      <c r="A599" s="71" t="s">
        <v>109</v>
      </c>
      <c r="B599" s="92"/>
      <c r="C599" s="72"/>
      <c r="D599" s="148">
        <f ca="1">Okt.!$E$7</f>
        <v>0</v>
      </c>
      <c r="F599" s="71" t="s">
        <v>109</v>
      </c>
      <c r="G599" s="92"/>
      <c r="H599" s="72"/>
      <c r="I599" s="148">
        <f ca="1">Okt.!$G$7</f>
        <v>0</v>
      </c>
      <c r="L599" s="114">
        <f ca="1">L549+L554+L559+L564+L569+L574+L579+L584+L589+L594+SUMIF($B$547:$B$597,"",$D$547:$D$597)</f>
        <v>0</v>
      </c>
      <c r="M599" s="115" t="s">
        <v>107</v>
      </c>
      <c r="N599" s="114">
        <f ca="1">N549+N554+N559+N564+N569+N574+N579+N584+N589+N594+SUMIF($G$547:$G$597,"",$I$547:$I$597)</f>
        <v>0</v>
      </c>
      <c r="Q599" s="114">
        <f ca="1">Q549+Q554+Q559+Q564+Q569+Q574+Q579+Q584+Q589+Q594+SUMIF($B$547:$B$597,"",$D$547:$D$597)</f>
        <v>0</v>
      </c>
      <c r="R599" s="115" t="s">
        <v>107</v>
      </c>
      <c r="S599" s="114">
        <f ca="1">S549+S554+S559+S564+S569+S574+S579+S584+S589+S594+SUMIF($G$547:$G$597,"",$I$547:$I$597)</f>
        <v>0</v>
      </c>
    </row>
    <row r="600" spans="1:19" ht="13.5" customHeight="1"/>
    <row r="601" spans="1:19" ht="15.95" customHeight="1">
      <c r="A601" s="57" t="str">
        <f>$A$1</f>
        <v>Einnahmen und Ausgaben nach Kategorien</v>
      </c>
      <c r="B601" s="33"/>
      <c r="C601" s="58"/>
      <c r="D601" s="58"/>
      <c r="E601" s="58"/>
      <c r="F601" s="58"/>
      <c r="G601" s="34"/>
      <c r="H601" s="58"/>
      <c r="I601" s="59" t="str">
        <f>CONCATENATE("November ",$A$2)</f>
        <v xml:space="preserve">November </v>
      </c>
      <c r="L601" s="33" t="str">
        <f>CONCATENATE("Kategoriengruppen November ",$A$2)</f>
        <v xml:space="preserve">Kategoriengruppen November </v>
      </c>
      <c r="Q601" s="33" t="str">
        <f>CONCATENATE("Kategoriengruppen November ",$A$2)</f>
        <v xml:space="preserve">Kategoriengruppen November </v>
      </c>
    </row>
    <row r="602" spans="1:19" ht="13.5" customHeight="1"/>
    <row r="603" spans="1:19" ht="13.5" customHeight="1"/>
    <row r="604" spans="1:19" ht="13.5" customHeight="1">
      <c r="A604" s="60" t="s">
        <v>40</v>
      </c>
      <c r="B604" s="39"/>
      <c r="C604" s="60"/>
      <c r="D604" s="60"/>
      <c r="F604" s="60" t="s">
        <v>41</v>
      </c>
      <c r="G604" s="39"/>
      <c r="H604" s="60"/>
      <c r="I604" s="60"/>
      <c r="L604" s="39" t="s">
        <v>84</v>
      </c>
      <c r="M604" s="103" t="s">
        <v>106</v>
      </c>
      <c r="N604" s="39" t="s">
        <v>85</v>
      </c>
      <c r="Q604" s="39" t="s">
        <v>84</v>
      </c>
      <c r="R604" s="103" t="s">
        <v>106</v>
      </c>
      <c r="S604" s="39" t="s">
        <v>85</v>
      </c>
    </row>
    <row r="605" spans="1:19" ht="13.5" customHeight="1" thickBot="1"/>
    <row r="606" spans="1:19" ht="13.5" customHeight="1" thickTop="1" thickBot="1">
      <c r="A606" s="61" t="s">
        <v>24</v>
      </c>
      <c r="B606" s="90" t="s">
        <v>82</v>
      </c>
      <c r="C606" s="62" t="s">
        <v>25</v>
      </c>
      <c r="D606" s="63" t="str">
        <f>$D$6</f>
        <v>CHF</v>
      </c>
      <c r="F606" s="61" t="s">
        <v>24</v>
      </c>
      <c r="G606" s="90" t="s">
        <v>82</v>
      </c>
      <c r="H606" s="62" t="s">
        <v>25</v>
      </c>
      <c r="I606" s="63" t="str">
        <f>$D$6</f>
        <v>CHF</v>
      </c>
    </row>
    <row r="607" spans="1:19" ht="13.5" customHeight="1" thickTop="1">
      <c r="A607" s="64">
        <f>$A$7</f>
        <v>100</v>
      </c>
      <c r="B607" s="153" t="str">
        <f>IF(B$7="","",B$7)</f>
        <v>A</v>
      </c>
      <c r="C607" s="65" t="str">
        <f>IF($C$7="","",$C$7)</f>
        <v>Ladenverkauf</v>
      </c>
      <c r="D607" s="66">
        <f ca="1">IF(C607="","",SUMIF(INDIRECT("Nov.!$D$15:$D$16000"),A607,INDIRECT("Nov.!$E$15:$E$16000")))</f>
        <v>0</v>
      </c>
      <c r="E607" s="67"/>
      <c r="F607" s="64">
        <f>$F$7</f>
        <v>200</v>
      </c>
      <c r="G607" s="153" t="str">
        <f>IF(G$7="","",G$7)</f>
        <v>A</v>
      </c>
      <c r="H607" s="65" t="str">
        <f>IF($H$7="","",$H$7)</f>
        <v>Maschinen und Geräte</v>
      </c>
      <c r="I607" s="66">
        <f ca="1">IF(H607="","",SUMIF(INDIRECT("Nov.!$F$15:$F$16000"),F607,INDIRECT("Nov.!$G$15:$G$16000")))</f>
        <v>0</v>
      </c>
      <c r="L607" s="95" t="s">
        <v>83</v>
      </c>
      <c r="N607" s="95" t="s">
        <v>104</v>
      </c>
      <c r="Q607" s="95" t="s">
        <v>83</v>
      </c>
      <c r="S607" s="95" t="s">
        <v>104</v>
      </c>
    </row>
    <row r="608" spans="1:19" ht="13.5" customHeight="1">
      <c r="A608" s="64">
        <f>$A$8</f>
        <v>101</v>
      </c>
      <c r="B608" s="153" t="str">
        <f>IF(B$8="","",B$8)</f>
        <v>A</v>
      </c>
      <c r="C608" s="65" t="str">
        <f>IF($C$8="","",$C$8)</f>
        <v>Verkauf über Internet</v>
      </c>
      <c r="D608" s="66">
        <f t="shared" ref="D608:D657" ca="1" si="20">IF(C608="","",SUMIF(INDIRECT("Nov.!$D$15:$D$16000"),A608,INDIRECT("Nov.!$E$15:$E$16000")))</f>
        <v>0</v>
      </c>
      <c r="E608" s="67"/>
      <c r="F608" s="64">
        <f>$F$8</f>
        <v>201</v>
      </c>
      <c r="G608" s="153" t="str">
        <f>IF(G$8="","",G$8)</f>
        <v>A</v>
      </c>
      <c r="H608" s="65" t="str">
        <f>IF($H$8="","",$H$8)</f>
        <v>Ladenmiete</v>
      </c>
      <c r="I608" s="66">
        <f t="shared" ref="I608:I657" ca="1" si="21">IF(H608="","",SUMIF(INDIRECT("Nov.!$F$15:$F$16000"),F608,INDIRECT("Nov.!$G$15:$G$16000")))</f>
        <v>0</v>
      </c>
      <c r="L608" s="112" t="str">
        <f>IF(L$8="","",L$8)</f>
        <v>Landwirtschaft</v>
      </c>
      <c r="N608" s="112" t="str">
        <f>IF(N$8="","",N$8)</f>
        <v>Landwirtschaft</v>
      </c>
      <c r="Q608" s="112" t="str">
        <f>IF(Q$8="","",Q$8)</f>
        <v/>
      </c>
      <c r="S608" s="112" t="str">
        <f>IF(S$8="","",S$8)</f>
        <v/>
      </c>
    </row>
    <row r="609" spans="1:19" ht="13.5" customHeight="1" thickBot="1">
      <c r="A609" s="64">
        <f>$A$9</f>
        <v>102</v>
      </c>
      <c r="B609" s="93" t="str">
        <f>IF(B$9="","",B$9)</f>
        <v/>
      </c>
      <c r="C609" s="65" t="str">
        <f>IF($C$9="","",$C$9)</f>
        <v/>
      </c>
      <c r="D609" s="66" t="str">
        <f t="shared" ca="1" si="20"/>
        <v/>
      </c>
      <c r="E609" s="67"/>
      <c r="F609" s="64">
        <f>$F$9</f>
        <v>202</v>
      </c>
      <c r="G609" s="153" t="str">
        <f>IF(G$9="","",G$9)</f>
        <v>A</v>
      </c>
      <c r="H609" s="65" t="str">
        <f>IF($H$9="","",$H$9)</f>
        <v>Werbeausgaben</v>
      </c>
      <c r="I609" s="66">
        <f t="shared" ca="1" si="21"/>
        <v>0</v>
      </c>
      <c r="L609" s="105">
        <f ca="1">SUMIF($B$607:$B$657,"A",$D$607:$D$657)</f>
        <v>0</v>
      </c>
      <c r="M609" s="104">
        <f ca="1">L609+N609</f>
        <v>0</v>
      </c>
      <c r="N609" s="106">
        <f ca="1">SUMIF($G$607:$G$657,"A",$I$607:$I$657)</f>
        <v>0</v>
      </c>
      <c r="Q609" s="105">
        <f ca="1">SUMIF($B$607:$B$657,"A",$D$607:$D$657)</f>
        <v>0</v>
      </c>
      <c r="R609" s="104">
        <f ca="1">Q609+S609</f>
        <v>0</v>
      </c>
      <c r="S609" s="106">
        <f ca="1">SUMIF($G$607:$G$657,"A",$I$607:$I$657)</f>
        <v>0</v>
      </c>
    </row>
    <row r="610" spans="1:19" ht="13.5" customHeight="1">
      <c r="A610" s="64">
        <f>$A$10</f>
        <v>103</v>
      </c>
      <c r="B610" s="93" t="str">
        <f>IF(B$10="","",B$10)</f>
        <v/>
      </c>
      <c r="C610" s="65" t="str">
        <f>IF($C$10="","",$C$10)</f>
        <v/>
      </c>
      <c r="D610" s="66" t="str">
        <f t="shared" ca="1" si="20"/>
        <v/>
      </c>
      <c r="E610" s="67"/>
      <c r="F610" s="64">
        <f>$F$10</f>
        <v>203</v>
      </c>
      <c r="G610" s="153" t="str">
        <f>IF(G$10="","",G$10)</f>
        <v>A</v>
      </c>
      <c r="H610" s="65" t="str">
        <f>IF($H$10="","",$H$10)</f>
        <v>Löhne</v>
      </c>
      <c r="I610" s="66">
        <f t="shared" ca="1" si="21"/>
        <v>0</v>
      </c>
    </row>
    <row r="611" spans="1:19" ht="13.5" customHeight="1" thickBot="1">
      <c r="A611" s="64">
        <f>$A$11</f>
        <v>104</v>
      </c>
      <c r="B611" s="93" t="str">
        <f>IF(B$11="","",B$11)</f>
        <v/>
      </c>
      <c r="C611" s="65" t="str">
        <f>IF($C$11="","",$C$11)</f>
        <v/>
      </c>
      <c r="D611" s="66" t="str">
        <f t="shared" ca="1" si="20"/>
        <v/>
      </c>
      <c r="E611" s="67"/>
      <c r="F611" s="64">
        <f>$F$11</f>
        <v>204</v>
      </c>
      <c r="G611" s="93" t="str">
        <f>IF(G$11="","",G$11)</f>
        <v/>
      </c>
      <c r="H611" s="65" t="str">
        <f>IF($H$11="","",$H$11)</f>
        <v/>
      </c>
      <c r="I611" s="66" t="str">
        <f t="shared" ca="1" si="21"/>
        <v/>
      </c>
    </row>
    <row r="612" spans="1:19" ht="13.5" customHeight="1">
      <c r="A612" s="64">
        <f>$A$12</f>
        <v>105</v>
      </c>
      <c r="B612" s="93" t="str">
        <f>IF(B$12="","",B$12)</f>
        <v/>
      </c>
      <c r="C612" s="65" t="str">
        <f>IF($C$12="","",$C$12)</f>
        <v/>
      </c>
      <c r="D612" s="66" t="str">
        <f t="shared" ca="1" si="20"/>
        <v/>
      </c>
      <c r="E612" s="67"/>
      <c r="F612" s="64">
        <f>$F$12</f>
        <v>205</v>
      </c>
      <c r="G612" s="93" t="str">
        <f>IF(G$12="","",G$12)</f>
        <v/>
      </c>
      <c r="H612" s="65" t="str">
        <f>IF($H$12="","",$H$12)</f>
        <v/>
      </c>
      <c r="I612" s="66" t="str">
        <f t="shared" ca="1" si="21"/>
        <v/>
      </c>
      <c r="L612" s="96" t="s">
        <v>86</v>
      </c>
      <c r="N612" s="96" t="s">
        <v>95</v>
      </c>
      <c r="Q612" s="96" t="s">
        <v>86</v>
      </c>
      <c r="S612" s="96" t="s">
        <v>95</v>
      </c>
    </row>
    <row r="613" spans="1:19" ht="13.5" customHeight="1">
      <c r="A613" s="64">
        <f>$A$13</f>
        <v>106</v>
      </c>
      <c r="B613" s="93" t="str">
        <f>IF(B$13="","",B$13)</f>
        <v/>
      </c>
      <c r="C613" s="65" t="str">
        <f>IF($C$13="","",$C$13)</f>
        <v/>
      </c>
      <c r="D613" s="66" t="str">
        <f t="shared" ca="1" si="20"/>
        <v/>
      </c>
      <c r="E613" s="67"/>
      <c r="F613" s="64">
        <f>$F$13</f>
        <v>206</v>
      </c>
      <c r="G613" s="93" t="str">
        <f>IF(G$13="","",G$13)</f>
        <v/>
      </c>
      <c r="H613" s="65" t="str">
        <f>IF($H$13="","",$H$13)</f>
        <v/>
      </c>
      <c r="I613" s="66" t="str">
        <f t="shared" ca="1" si="21"/>
        <v/>
      </c>
      <c r="L613" s="112" t="str">
        <f>IF(L$13="","",L$13)</f>
        <v>Privat</v>
      </c>
      <c r="N613" s="112" t="str">
        <f>IF(N$13="","",N$13)</f>
        <v>Privat</v>
      </c>
      <c r="Q613" s="112" t="str">
        <f>IF(Q$13="","",Q$13)</f>
        <v/>
      </c>
      <c r="S613" s="112" t="str">
        <f>IF(S$13="","",S$13)</f>
        <v/>
      </c>
    </row>
    <row r="614" spans="1:19" ht="13.5" customHeight="1" thickBot="1">
      <c r="A614" s="64">
        <f>$A$14</f>
        <v>107</v>
      </c>
      <c r="B614" s="93" t="str">
        <f>IF(B$14="","",B$14)</f>
        <v/>
      </c>
      <c r="C614" s="65" t="str">
        <f>IF($C$14="","",$C$14)</f>
        <v/>
      </c>
      <c r="D614" s="66" t="str">
        <f t="shared" ca="1" si="20"/>
        <v/>
      </c>
      <c r="E614" s="67"/>
      <c r="F614" s="64">
        <f>$F$14</f>
        <v>207</v>
      </c>
      <c r="G614" s="93" t="str">
        <f>IF(G$14="","",G$14)</f>
        <v/>
      </c>
      <c r="H614" s="65" t="str">
        <f>IF($H$14="","",$H$14)</f>
        <v/>
      </c>
      <c r="I614" s="66" t="str">
        <f t="shared" ca="1" si="21"/>
        <v/>
      </c>
      <c r="L614" s="105">
        <f ca="1">SUMIF($B$607:$B$657,"B",$D$607:$D$657)</f>
        <v>0</v>
      </c>
      <c r="M614" s="104">
        <f ca="1">L614+N614</f>
        <v>0</v>
      </c>
      <c r="N614" s="106">
        <f ca="1">SUMIF($G$607:$G$657,"B",$I$607:$I$657)</f>
        <v>0</v>
      </c>
      <c r="Q614" s="105">
        <f ca="1">SUMIF($B$607:$B$657,"B",$D$607:$D$657)</f>
        <v>0</v>
      </c>
      <c r="R614" s="104">
        <f ca="1">Q614+S614</f>
        <v>0</v>
      </c>
      <c r="S614" s="106">
        <f ca="1">SUMIF($G$607:$G$657,"B",$I$607:$I$657)</f>
        <v>0</v>
      </c>
    </row>
    <row r="615" spans="1:19" ht="13.5" customHeight="1">
      <c r="A615" s="64">
        <f>$A$15</f>
        <v>108</v>
      </c>
      <c r="B615" s="93" t="str">
        <f>IF(B$15="","",B$15)</f>
        <v/>
      </c>
      <c r="C615" s="65" t="str">
        <f>IF($C$15="","",$C$15)</f>
        <v/>
      </c>
      <c r="D615" s="66" t="str">
        <f t="shared" ca="1" si="20"/>
        <v/>
      </c>
      <c r="E615" s="67"/>
      <c r="F615" s="64">
        <f>$F$15</f>
        <v>208</v>
      </c>
      <c r="G615" s="93" t="str">
        <f>IF(G$15="","",G$15)</f>
        <v/>
      </c>
      <c r="H615" s="65" t="str">
        <f>IF($H$15="","",$H$15)</f>
        <v/>
      </c>
      <c r="I615" s="66" t="str">
        <f t="shared" ca="1" si="21"/>
        <v/>
      </c>
    </row>
    <row r="616" spans="1:19" ht="13.5" customHeight="1" thickBot="1">
      <c r="A616" s="64">
        <f>$A$16</f>
        <v>109</v>
      </c>
      <c r="B616" s="93" t="str">
        <f>IF(B$16="","",B$16)</f>
        <v/>
      </c>
      <c r="C616" s="65" t="str">
        <f>IF($C$16="","",$C$16)</f>
        <v/>
      </c>
      <c r="D616" s="66" t="str">
        <f t="shared" ca="1" si="20"/>
        <v/>
      </c>
      <c r="E616" s="67"/>
      <c r="F616" s="64">
        <f>$F$16</f>
        <v>209</v>
      </c>
      <c r="G616" s="93" t="str">
        <f>IF(G$16="","",G$16)</f>
        <v/>
      </c>
      <c r="H616" s="65" t="str">
        <f>IF($H$16="","",$H$16)</f>
        <v/>
      </c>
      <c r="I616" s="66" t="str">
        <f t="shared" ca="1" si="21"/>
        <v/>
      </c>
    </row>
    <row r="617" spans="1:19" ht="13.5" customHeight="1">
      <c r="A617" s="64">
        <f>$A$17</f>
        <v>110</v>
      </c>
      <c r="B617" s="93" t="str">
        <f>IF(B$17="","",B$17)</f>
        <v/>
      </c>
      <c r="C617" s="65" t="str">
        <f>IF($C$17="","",$C$17)</f>
        <v/>
      </c>
      <c r="D617" s="66" t="str">
        <f t="shared" ca="1" si="20"/>
        <v/>
      </c>
      <c r="E617" s="67"/>
      <c r="F617" s="64">
        <f>$F$17</f>
        <v>210</v>
      </c>
      <c r="G617" s="93" t="str">
        <f>IF(G$17="","",G$17)</f>
        <v/>
      </c>
      <c r="H617" s="65" t="str">
        <f>IF($H$17="","",$H$17)</f>
        <v/>
      </c>
      <c r="I617" s="66" t="str">
        <f t="shared" ca="1" si="21"/>
        <v/>
      </c>
      <c r="Q617" s="109" t="s">
        <v>87</v>
      </c>
      <c r="S617" s="109" t="s">
        <v>96</v>
      </c>
    </row>
    <row r="618" spans="1:19" ht="13.5" customHeight="1">
      <c r="A618" s="64">
        <f>$A$18</f>
        <v>111</v>
      </c>
      <c r="B618" s="93" t="str">
        <f>IF(B$18="","",B$18)</f>
        <v/>
      </c>
      <c r="C618" s="65" t="str">
        <f>IF($C$18="","",$C$18)</f>
        <v/>
      </c>
      <c r="D618" s="66" t="str">
        <f t="shared" ca="1" si="20"/>
        <v/>
      </c>
      <c r="E618" s="67"/>
      <c r="F618" s="64">
        <f>$F$18</f>
        <v>211</v>
      </c>
      <c r="G618" s="93" t="str">
        <f>IF(G$18="","",G$18)</f>
        <v/>
      </c>
      <c r="H618" s="65" t="str">
        <f>IF($H$18="","",$H$18)</f>
        <v/>
      </c>
      <c r="I618" s="66" t="str">
        <f t="shared" ca="1" si="21"/>
        <v/>
      </c>
      <c r="Q618" s="112" t="str">
        <f>IF(Q$18="","",Q$18)</f>
        <v/>
      </c>
      <c r="S618" s="112" t="str">
        <f>IF(S$18="","",S$18)</f>
        <v/>
      </c>
    </row>
    <row r="619" spans="1:19" ht="13.5" customHeight="1" thickBot="1">
      <c r="A619" s="64">
        <f>$A$19</f>
        <v>112</v>
      </c>
      <c r="B619" s="93" t="str">
        <f>IF(B$19="","",B$19)</f>
        <v/>
      </c>
      <c r="C619" s="65" t="str">
        <f>IF($C$19="","",$C$19)</f>
        <v/>
      </c>
      <c r="D619" s="66" t="str">
        <f t="shared" ca="1" si="20"/>
        <v/>
      </c>
      <c r="E619" s="67"/>
      <c r="F619" s="64">
        <f>$F$19</f>
        <v>212</v>
      </c>
      <c r="G619" s="93" t="str">
        <f>IF(G$19="","",G$19)</f>
        <v/>
      </c>
      <c r="H619" s="65" t="str">
        <f>IF($H$19="","",$H$19)</f>
        <v/>
      </c>
      <c r="I619" s="66" t="str">
        <f t="shared" ca="1" si="21"/>
        <v/>
      </c>
      <c r="Q619" s="105">
        <f>SUMIF($B$607:$B$657,"C",$D$607:$D$657)</f>
        <v>0</v>
      </c>
      <c r="R619" s="104">
        <f>Q619+S619</f>
        <v>0</v>
      </c>
      <c r="S619" s="106">
        <f>SUMIF($G$607:$G$657,"C",$I$607:$I$657)</f>
        <v>0</v>
      </c>
    </row>
    <row r="620" spans="1:19" ht="13.5" customHeight="1">
      <c r="A620" s="64">
        <f>$A$20</f>
        <v>113</v>
      </c>
      <c r="B620" s="93" t="str">
        <f>IF(B$20="","",B$20)</f>
        <v/>
      </c>
      <c r="C620" s="65" t="str">
        <f>IF($C$20="","",$C$20)</f>
        <v/>
      </c>
      <c r="D620" s="66" t="str">
        <f t="shared" ca="1" si="20"/>
        <v/>
      </c>
      <c r="E620" s="67"/>
      <c r="F620" s="64">
        <f>$F$20</f>
        <v>213</v>
      </c>
      <c r="G620" s="93" t="str">
        <f>IF(G$20="","",G$20)</f>
        <v/>
      </c>
      <c r="H620" s="65" t="str">
        <f>IF($H$20="","",$H$20)</f>
        <v/>
      </c>
      <c r="I620" s="66" t="str">
        <f t="shared" ca="1" si="21"/>
        <v/>
      </c>
    </row>
    <row r="621" spans="1:19" ht="13.5" customHeight="1" thickBot="1">
      <c r="A621" s="64">
        <f>$A$21</f>
        <v>114</v>
      </c>
      <c r="B621" s="93" t="str">
        <f>IF(B$21="","",B$21)</f>
        <v/>
      </c>
      <c r="C621" s="65" t="str">
        <f>IF($C$21="","",$C$21)</f>
        <v/>
      </c>
      <c r="D621" s="66" t="str">
        <f t="shared" ca="1" si="20"/>
        <v/>
      </c>
      <c r="E621" s="67"/>
      <c r="F621" s="64">
        <f>$F$21</f>
        <v>214</v>
      </c>
      <c r="G621" s="93" t="str">
        <f>IF(G$21="","",G$21)</f>
        <v/>
      </c>
      <c r="H621" s="65" t="str">
        <f>IF($H$21="","",$H$21)</f>
        <v/>
      </c>
      <c r="I621" s="66" t="str">
        <f t="shared" ca="1" si="21"/>
        <v/>
      </c>
    </row>
    <row r="622" spans="1:19" ht="13.5" customHeight="1">
      <c r="A622" s="64">
        <f>$A$22</f>
        <v>115</v>
      </c>
      <c r="B622" s="93" t="str">
        <f>IF(B$22="","",B$22)</f>
        <v/>
      </c>
      <c r="C622" s="65" t="str">
        <f>IF($C$22="","",$C$22)</f>
        <v/>
      </c>
      <c r="D622" s="66" t="str">
        <f t="shared" ca="1" si="20"/>
        <v/>
      </c>
      <c r="E622" s="67"/>
      <c r="F622" s="64">
        <f>$F$22</f>
        <v>215</v>
      </c>
      <c r="G622" s="93" t="str">
        <f>IF(G$22="","",G$22)</f>
        <v/>
      </c>
      <c r="H622" s="65" t="str">
        <f>IF($H$22="","",$H$22)</f>
        <v/>
      </c>
      <c r="I622" s="66" t="str">
        <f t="shared" ca="1" si="21"/>
        <v/>
      </c>
      <c r="Q622" s="97" t="s">
        <v>88</v>
      </c>
      <c r="S622" s="97" t="s">
        <v>97</v>
      </c>
    </row>
    <row r="623" spans="1:19" ht="13.5" customHeight="1">
      <c r="A623" s="64">
        <f>$A$23</f>
        <v>116</v>
      </c>
      <c r="B623" s="93" t="str">
        <f>IF(B$23="","",B$23)</f>
        <v/>
      </c>
      <c r="C623" s="65" t="str">
        <f>IF($C$23="","",$C$23)</f>
        <v/>
      </c>
      <c r="D623" s="66" t="str">
        <f t="shared" ca="1" si="20"/>
        <v/>
      </c>
      <c r="E623" s="67"/>
      <c r="F623" s="64">
        <f>$F$23</f>
        <v>216</v>
      </c>
      <c r="G623" s="93" t="str">
        <f>IF(G$23="","",G$23)</f>
        <v/>
      </c>
      <c r="H623" s="65" t="str">
        <f>IF($H$23="","",$H$23)</f>
        <v/>
      </c>
      <c r="I623" s="66" t="str">
        <f t="shared" ca="1" si="21"/>
        <v/>
      </c>
      <c r="Q623" s="112" t="str">
        <f>IF(Q$23="","",Q$23)</f>
        <v/>
      </c>
      <c r="S623" s="112" t="str">
        <f>IF(S$23="","",S$23)</f>
        <v/>
      </c>
    </row>
    <row r="624" spans="1:19" ht="13.5" customHeight="1" thickBot="1">
      <c r="A624" s="64">
        <f>$A$24</f>
        <v>117</v>
      </c>
      <c r="B624" s="93" t="str">
        <f>IF(B$24="","",B$24)</f>
        <v/>
      </c>
      <c r="C624" s="65" t="str">
        <f>IF($C$24="","",$C$24)</f>
        <v/>
      </c>
      <c r="D624" s="66" t="str">
        <f t="shared" ca="1" si="20"/>
        <v/>
      </c>
      <c r="E624" s="67"/>
      <c r="F624" s="64">
        <f>$F$24</f>
        <v>217</v>
      </c>
      <c r="G624" s="93" t="str">
        <f>IF(G$24="","",G$24)</f>
        <v/>
      </c>
      <c r="H624" s="65" t="str">
        <f>IF($H$24="","",$H$24)</f>
        <v/>
      </c>
      <c r="I624" s="66" t="str">
        <f t="shared" ca="1" si="21"/>
        <v/>
      </c>
      <c r="Q624" s="105">
        <f>SUMIF($B$607:$B$657,"D",$D$607:$D$657)</f>
        <v>0</v>
      </c>
      <c r="R624" s="104">
        <f>Q624+S624</f>
        <v>0</v>
      </c>
      <c r="S624" s="106">
        <f>SUMIF($G$607:$G$657,"D",$I$607:$I$657)</f>
        <v>0</v>
      </c>
    </row>
    <row r="625" spans="1:19" ht="13.5" customHeight="1">
      <c r="A625" s="64">
        <f>$A$25</f>
        <v>118</v>
      </c>
      <c r="B625" s="93" t="str">
        <f>IF(B$25="","",B$25)</f>
        <v/>
      </c>
      <c r="C625" s="65" t="str">
        <f>IF($C$25="","",$C$25)</f>
        <v/>
      </c>
      <c r="D625" s="66" t="str">
        <f t="shared" ca="1" si="20"/>
        <v/>
      </c>
      <c r="E625" s="67"/>
      <c r="F625" s="64">
        <f>$F$25</f>
        <v>218</v>
      </c>
      <c r="G625" s="93" t="str">
        <f>IF(G$25="","",G$25)</f>
        <v/>
      </c>
      <c r="H625" s="65" t="str">
        <f>IF($H$25="","",$H$25)</f>
        <v/>
      </c>
      <c r="I625" s="66" t="str">
        <f t="shared" ca="1" si="21"/>
        <v/>
      </c>
    </row>
    <row r="626" spans="1:19" ht="13.5" customHeight="1" thickBot="1">
      <c r="A626" s="64">
        <f>$A$26</f>
        <v>119</v>
      </c>
      <c r="B626" s="93" t="str">
        <f>IF(B$26="","",B$26)</f>
        <v/>
      </c>
      <c r="C626" s="65" t="str">
        <f>IF($C$26="","",$C$26)</f>
        <v/>
      </c>
      <c r="D626" s="66" t="str">
        <f t="shared" ca="1" si="20"/>
        <v/>
      </c>
      <c r="E626" s="67"/>
      <c r="F626" s="64">
        <f>$F$26</f>
        <v>219</v>
      </c>
      <c r="G626" s="93" t="str">
        <f>IF(G$26="","",G$26)</f>
        <v/>
      </c>
      <c r="H626" s="65" t="str">
        <f>IF($H$26="","",$H$26)</f>
        <v/>
      </c>
      <c r="I626" s="66" t="str">
        <f t="shared" ca="1" si="21"/>
        <v/>
      </c>
    </row>
    <row r="627" spans="1:19" ht="13.5" customHeight="1">
      <c r="A627" s="64">
        <f>$A$27</f>
        <v>120</v>
      </c>
      <c r="B627" s="93" t="str">
        <f>IF(B$27="","",B$27)</f>
        <v/>
      </c>
      <c r="C627" s="65" t="str">
        <f>IF($C$27="","",$C$27)</f>
        <v/>
      </c>
      <c r="D627" s="66" t="str">
        <f t="shared" ca="1" si="20"/>
        <v/>
      </c>
      <c r="E627" s="67"/>
      <c r="F627" s="64">
        <f>$F$27</f>
        <v>220</v>
      </c>
      <c r="G627" s="93" t="str">
        <f>IF(G$27="","",G$27)</f>
        <v/>
      </c>
      <c r="H627" s="65" t="str">
        <f>IF($H$27="","",$H$27)</f>
        <v/>
      </c>
      <c r="I627" s="66" t="str">
        <f t="shared" ca="1" si="21"/>
        <v/>
      </c>
      <c r="Q627" s="110" t="s">
        <v>89</v>
      </c>
      <c r="S627" s="110" t="s">
        <v>98</v>
      </c>
    </row>
    <row r="628" spans="1:19" ht="13.5" customHeight="1">
      <c r="A628" s="64">
        <f>$A$28</f>
        <v>121</v>
      </c>
      <c r="B628" s="93" t="str">
        <f>IF(B$28="","",B$28)</f>
        <v/>
      </c>
      <c r="C628" s="65" t="str">
        <f>IF($C$28="","",$C$28)</f>
        <v/>
      </c>
      <c r="D628" s="66" t="str">
        <f t="shared" ca="1" si="20"/>
        <v/>
      </c>
      <c r="E628" s="67"/>
      <c r="F628" s="64">
        <f>$F$28</f>
        <v>221</v>
      </c>
      <c r="G628" s="93" t="str">
        <f>IF(G$28="","",G$28)</f>
        <v/>
      </c>
      <c r="H628" s="65" t="str">
        <f>IF($H$28="","",$H$28)</f>
        <v/>
      </c>
      <c r="I628" s="66" t="str">
        <f t="shared" ca="1" si="21"/>
        <v/>
      </c>
      <c r="Q628" s="112" t="str">
        <f>IF(Q$28="","",Q$28)</f>
        <v/>
      </c>
      <c r="S628" s="112" t="str">
        <f>IF(S$28="","",S$28)</f>
        <v/>
      </c>
    </row>
    <row r="629" spans="1:19" ht="13.5" customHeight="1" thickBot="1">
      <c r="A629" s="64">
        <f>$A$29</f>
        <v>122</v>
      </c>
      <c r="B629" s="93" t="str">
        <f>IF(B$29="","",B$29)</f>
        <v/>
      </c>
      <c r="C629" s="65" t="str">
        <f>IF($C$29="","",$C$29)</f>
        <v/>
      </c>
      <c r="D629" s="66" t="str">
        <f t="shared" ca="1" si="20"/>
        <v/>
      </c>
      <c r="E629" s="67"/>
      <c r="F629" s="64">
        <f>$F$29</f>
        <v>222</v>
      </c>
      <c r="G629" s="93" t="str">
        <f>IF(G$29="","",G$29)</f>
        <v/>
      </c>
      <c r="H629" s="65" t="str">
        <f>IF($H$29="","",$H$29)</f>
        <v/>
      </c>
      <c r="I629" s="66" t="str">
        <f t="shared" ca="1" si="21"/>
        <v/>
      </c>
      <c r="Q629" s="105">
        <f>SUMIF($B$607:$B$657,"E",$D$607:$D$657)</f>
        <v>0</v>
      </c>
      <c r="R629" s="104">
        <f>Q629+S629</f>
        <v>0</v>
      </c>
      <c r="S629" s="106">
        <f>SUMIF($G$607:$G$657,"E",$I$607:$I$657)</f>
        <v>0</v>
      </c>
    </row>
    <row r="630" spans="1:19" ht="13.5" customHeight="1">
      <c r="A630" s="64">
        <f>$A$30</f>
        <v>123</v>
      </c>
      <c r="B630" s="93" t="str">
        <f>IF(B$30="","",B$30)</f>
        <v/>
      </c>
      <c r="C630" s="65" t="str">
        <f>IF($C$30="","",$C$30)</f>
        <v/>
      </c>
      <c r="D630" s="66" t="str">
        <f t="shared" ca="1" si="20"/>
        <v/>
      </c>
      <c r="E630" s="67"/>
      <c r="F630" s="64">
        <f>$F$30</f>
        <v>223</v>
      </c>
      <c r="G630" s="93" t="str">
        <f>IF(G$30="","",G$30)</f>
        <v/>
      </c>
      <c r="H630" s="65" t="str">
        <f>IF($H$30="","",$H$30)</f>
        <v/>
      </c>
      <c r="I630" s="66" t="str">
        <f t="shared" ca="1" si="21"/>
        <v/>
      </c>
    </row>
    <row r="631" spans="1:19" ht="13.5" customHeight="1" thickBot="1">
      <c r="A631" s="64">
        <f>$A$31</f>
        <v>124</v>
      </c>
      <c r="B631" s="93" t="str">
        <f>IF(B$31="","",B$31)</f>
        <v/>
      </c>
      <c r="C631" s="65" t="str">
        <f>IF($C$31="","",$C$31)</f>
        <v/>
      </c>
      <c r="D631" s="66" t="str">
        <f t="shared" ca="1" si="20"/>
        <v/>
      </c>
      <c r="E631" s="67"/>
      <c r="F631" s="64">
        <f>$F$31</f>
        <v>224</v>
      </c>
      <c r="G631" s="93" t="str">
        <f>IF(G$31="","",G$31)</f>
        <v/>
      </c>
      <c r="H631" s="65" t="str">
        <f>IF($H$31="","",$H$31)</f>
        <v/>
      </c>
      <c r="I631" s="66" t="str">
        <f t="shared" ca="1" si="21"/>
        <v/>
      </c>
    </row>
    <row r="632" spans="1:19" ht="13.5" customHeight="1">
      <c r="A632" s="64">
        <f>$A$32</f>
        <v>125</v>
      </c>
      <c r="B632" s="154" t="str">
        <f>IF(B$32="","",B$32)</f>
        <v>B</v>
      </c>
      <c r="C632" s="65" t="str">
        <f>IF($C$32="","",$C$32)</f>
        <v>Lohn Nebenerwerb</v>
      </c>
      <c r="D632" s="66">
        <f t="shared" ca="1" si="20"/>
        <v>0</v>
      </c>
      <c r="E632" s="67"/>
      <c r="F632" s="64">
        <f>$F$32</f>
        <v>225</v>
      </c>
      <c r="G632" s="154" t="str">
        <f>IF(G$32="","",G$32)</f>
        <v>B</v>
      </c>
      <c r="H632" s="65" t="str">
        <f>IF($H$32="","",$H$32)</f>
        <v>Nahrung, Kleider, Körperpflege</v>
      </c>
      <c r="I632" s="66">
        <f t="shared" ca="1" si="21"/>
        <v>0</v>
      </c>
      <c r="Q632" s="98" t="s">
        <v>90</v>
      </c>
      <c r="S632" s="98" t="s">
        <v>99</v>
      </c>
    </row>
    <row r="633" spans="1:19" ht="13.5" customHeight="1">
      <c r="A633" s="64">
        <f>$A$33</f>
        <v>126</v>
      </c>
      <c r="B633" s="93" t="str">
        <f>IF(B$33="","",B$33)</f>
        <v/>
      </c>
      <c r="C633" s="65" t="str">
        <f>IF($C$33="","",$C$33)</f>
        <v/>
      </c>
      <c r="D633" s="66" t="str">
        <f t="shared" ca="1" si="20"/>
        <v/>
      </c>
      <c r="E633" s="67"/>
      <c r="F633" s="64">
        <f>$F$33</f>
        <v>226</v>
      </c>
      <c r="G633" s="154" t="str">
        <f>IF(G$33="","",G$33)</f>
        <v>B</v>
      </c>
      <c r="H633" s="65" t="str">
        <f>IF($H$33="","",$H$33)</f>
        <v>Autokosten</v>
      </c>
      <c r="I633" s="66">
        <f t="shared" ca="1" si="21"/>
        <v>0</v>
      </c>
      <c r="Q633" s="112" t="str">
        <f>IF(Q$33="","",Q$33)</f>
        <v/>
      </c>
      <c r="S633" s="112" t="str">
        <f>IF(S$33="","",S$33)</f>
        <v/>
      </c>
    </row>
    <row r="634" spans="1:19" ht="13.5" customHeight="1" thickBot="1">
      <c r="A634" s="64">
        <f>$A$34</f>
        <v>127</v>
      </c>
      <c r="B634" s="93" t="str">
        <f>IF(B$34="","",B$34)</f>
        <v/>
      </c>
      <c r="C634" s="65" t="str">
        <f>IF($C$34="","",$C$34)</f>
        <v/>
      </c>
      <c r="D634" s="66" t="str">
        <f t="shared" ca="1" si="20"/>
        <v/>
      </c>
      <c r="E634" s="67"/>
      <c r="F634" s="64">
        <f>$F$34</f>
        <v>227</v>
      </c>
      <c r="G634" s="154" t="str">
        <f>IF(G$34="","",G$34)</f>
        <v>B</v>
      </c>
      <c r="H634" s="65" t="str">
        <f>IF($H$34="","",$H$34)</f>
        <v>Gesundheit, Krankenkasse, Zahnarzt</v>
      </c>
      <c r="I634" s="66">
        <f t="shared" ca="1" si="21"/>
        <v>0</v>
      </c>
      <c r="Q634" s="105">
        <f>SUMIF($B$607:$B$657,"F",$D$607:$D$657)</f>
        <v>0</v>
      </c>
      <c r="R634" s="104">
        <f>Q634+S634</f>
        <v>0</v>
      </c>
      <c r="S634" s="106">
        <f>SUMIF($G$607:$G$657,"F",$I$607:$I$657)</f>
        <v>0</v>
      </c>
    </row>
    <row r="635" spans="1:19" ht="13.5" customHeight="1">
      <c r="A635" s="64">
        <f>$A$35</f>
        <v>128</v>
      </c>
      <c r="B635" s="93" t="str">
        <f>IF(B$35="","",B$35)</f>
        <v/>
      </c>
      <c r="C635" s="65" t="str">
        <f>IF($C$35="","",$C$35)</f>
        <v/>
      </c>
      <c r="D635" s="66" t="str">
        <f t="shared" ca="1" si="20"/>
        <v/>
      </c>
      <c r="E635" s="67"/>
      <c r="F635" s="64">
        <f>$F$35</f>
        <v>228</v>
      </c>
      <c r="G635" s="154" t="str">
        <f>IF(G$35="","",G$35)</f>
        <v>B</v>
      </c>
      <c r="H635" s="65" t="str">
        <f>IF($H$35="","",$H$35)</f>
        <v>Versicherungen allgemein</v>
      </c>
      <c r="I635" s="66">
        <f t="shared" ca="1" si="21"/>
        <v>0</v>
      </c>
    </row>
    <row r="636" spans="1:19" ht="13.5" customHeight="1" thickBot="1">
      <c r="A636" s="64">
        <f>$A$36</f>
        <v>129</v>
      </c>
      <c r="B636" s="93" t="str">
        <f>IF(B$36="","",B$36)</f>
        <v/>
      </c>
      <c r="C636" s="65" t="str">
        <f>IF($C$36="","",$C$36)</f>
        <v/>
      </c>
      <c r="D636" s="66" t="str">
        <f t="shared" ca="1" si="20"/>
        <v/>
      </c>
      <c r="E636" s="67"/>
      <c r="F636" s="64">
        <f>$F$36</f>
        <v>229</v>
      </c>
      <c r="G636" s="154" t="str">
        <f>IF(G$36="","",G$36)</f>
        <v>B</v>
      </c>
      <c r="H636" s="65" t="str">
        <f>IF($H$36="","",$H$36)</f>
        <v>Büro, Computer, Fotos</v>
      </c>
      <c r="I636" s="66">
        <f t="shared" ca="1" si="21"/>
        <v>0</v>
      </c>
    </row>
    <row r="637" spans="1:19" ht="13.5" customHeight="1">
      <c r="A637" s="64">
        <f>$A$37</f>
        <v>130</v>
      </c>
      <c r="B637" s="93" t="str">
        <f>IF(B$37="","",B$37)</f>
        <v/>
      </c>
      <c r="C637" s="65" t="str">
        <f>IF($C$37="","",$C$37)</f>
        <v/>
      </c>
      <c r="D637" s="66" t="str">
        <f t="shared" ca="1" si="20"/>
        <v/>
      </c>
      <c r="E637" s="67"/>
      <c r="F637" s="64">
        <f>$F$37</f>
        <v>230</v>
      </c>
      <c r="G637" s="154" t="str">
        <f>IF(G$37="","",G$37)</f>
        <v>B</v>
      </c>
      <c r="H637" s="65" t="str">
        <f>IF($H$37="","",$H$37)</f>
        <v>Ferien, Ausflüge</v>
      </c>
      <c r="I637" s="66">
        <f t="shared" ca="1" si="21"/>
        <v>0</v>
      </c>
      <c r="Q637" s="99" t="s">
        <v>91</v>
      </c>
      <c r="S637" s="99" t="s">
        <v>100</v>
      </c>
    </row>
    <row r="638" spans="1:19" ht="13.5" customHeight="1">
      <c r="A638" s="64">
        <f>$A$38</f>
        <v>131</v>
      </c>
      <c r="B638" s="93" t="str">
        <f>IF(B$38="","",B$38)</f>
        <v/>
      </c>
      <c r="C638" s="65" t="str">
        <f>IF($C$38="","",$C$38)</f>
        <v/>
      </c>
      <c r="D638" s="66" t="str">
        <f t="shared" ca="1" si="20"/>
        <v/>
      </c>
      <c r="E638" s="67"/>
      <c r="F638" s="64">
        <f>$F$38</f>
        <v>231</v>
      </c>
      <c r="G638" s="154" t="str">
        <f>IF(G$38="","",G$38)</f>
        <v>B</v>
      </c>
      <c r="H638" s="65" t="str">
        <f>IF($H$38="","",$H$38)</f>
        <v>Freizeit, Vergnügen, Unterhaltung</v>
      </c>
      <c r="I638" s="66">
        <f t="shared" ca="1" si="21"/>
        <v>0</v>
      </c>
      <c r="Q638" s="112" t="str">
        <f>IF(Q$38="","",Q$38)</f>
        <v/>
      </c>
      <c r="S638" s="112" t="str">
        <f>IF(S$38="","",S$38)</f>
        <v/>
      </c>
    </row>
    <row r="639" spans="1:19" ht="13.5" customHeight="1" thickBot="1">
      <c r="A639" s="64">
        <f>$A$39</f>
        <v>132</v>
      </c>
      <c r="B639" s="154" t="str">
        <f>IF(B$39="","",B$39)</f>
        <v>B</v>
      </c>
      <c r="C639" s="65" t="str">
        <f>IF($C$39="","",$C$39)</f>
        <v>Feuerwehrsold</v>
      </c>
      <c r="D639" s="66">
        <f t="shared" ca="1" si="20"/>
        <v>0</v>
      </c>
      <c r="E639" s="67"/>
      <c r="F639" s="64">
        <f>$F$39</f>
        <v>232</v>
      </c>
      <c r="G639" s="154" t="str">
        <f>IF(G$39="","",G$39)</f>
        <v>B</v>
      </c>
      <c r="H639" s="65" t="str">
        <f>IF($H$39="","",$H$39)</f>
        <v>Telefon</v>
      </c>
      <c r="I639" s="66">
        <f t="shared" ca="1" si="21"/>
        <v>0</v>
      </c>
      <c r="Q639" s="105">
        <f>SUMIF($B$607:$B$657,"G",$D$607:$D$657)</f>
        <v>0</v>
      </c>
      <c r="R639" s="104">
        <f>Q639+S639</f>
        <v>0</v>
      </c>
      <c r="S639" s="106">
        <f>SUMIF($G$607:$G$657,"G",$I$607:$I$657)</f>
        <v>0</v>
      </c>
    </row>
    <row r="640" spans="1:19" ht="13.5" customHeight="1">
      <c r="A640" s="64">
        <f>$A$40</f>
        <v>133</v>
      </c>
      <c r="B640" s="93" t="str">
        <f>IF(B$40="","",B$40)</f>
        <v/>
      </c>
      <c r="C640" s="65" t="str">
        <f>IF($C$40="","",$C$40)</f>
        <v/>
      </c>
      <c r="D640" s="66" t="str">
        <f t="shared" ca="1" si="20"/>
        <v/>
      </c>
      <c r="E640" s="67"/>
      <c r="F640" s="64">
        <f>$F$40</f>
        <v>233</v>
      </c>
      <c r="G640" s="154" t="str">
        <f>IF(G$40="","",G$40)</f>
        <v>B</v>
      </c>
      <c r="H640" s="65" t="str">
        <f>IF($H$40="","",$H$40)</f>
        <v>Öffentlicher Verkehr und Velo</v>
      </c>
      <c r="I640" s="66">
        <f t="shared" ca="1" si="21"/>
        <v>0</v>
      </c>
    </row>
    <row r="641" spans="1:19" ht="13.5" customHeight="1" thickBot="1">
      <c r="A641" s="64">
        <f>$A$41</f>
        <v>134</v>
      </c>
      <c r="B641" s="93" t="str">
        <f>IF(B$41="","",B$41)</f>
        <v/>
      </c>
      <c r="C641" s="65" t="str">
        <f>IF($C$41="","",$C$41)</f>
        <v/>
      </c>
      <c r="D641" s="66" t="str">
        <f t="shared" ca="1" si="20"/>
        <v/>
      </c>
      <c r="E641" s="67"/>
      <c r="F641" s="64">
        <f>$F$41</f>
        <v>234</v>
      </c>
      <c r="G641" s="154" t="str">
        <f>IF(G$41="","",G$41)</f>
        <v>B</v>
      </c>
      <c r="H641" s="65" t="str">
        <f>IF($H$41="","",$H$41)</f>
        <v>Möbel, Wohnungseinrichtung</v>
      </c>
      <c r="I641" s="66">
        <f t="shared" ca="1" si="21"/>
        <v>0</v>
      </c>
    </row>
    <row r="642" spans="1:19" ht="13.5" customHeight="1">
      <c r="A642" s="64">
        <f>$A$42</f>
        <v>135</v>
      </c>
      <c r="B642" s="93" t="str">
        <f>IF(B$42="","",B$42)</f>
        <v/>
      </c>
      <c r="C642" s="65" t="str">
        <f>IF($C$42="","",$C$42)</f>
        <v/>
      </c>
      <c r="D642" s="66" t="str">
        <f t="shared" ca="1" si="20"/>
        <v/>
      </c>
      <c r="E642" s="67"/>
      <c r="F642" s="64">
        <f>$F$42</f>
        <v>235</v>
      </c>
      <c r="G642" s="154" t="str">
        <f>IF(G$42="","",G$42)</f>
        <v>B</v>
      </c>
      <c r="H642" s="65" t="str">
        <f>IF($H$42="","",$H$42)</f>
        <v>Kosten IT Consulting / Webdesign</v>
      </c>
      <c r="I642" s="66">
        <f t="shared" ca="1" si="21"/>
        <v>0</v>
      </c>
      <c r="Q642" s="100" t="s">
        <v>92</v>
      </c>
      <c r="S642" s="100" t="s">
        <v>101</v>
      </c>
    </row>
    <row r="643" spans="1:19" ht="13.5" customHeight="1">
      <c r="A643" s="64">
        <f>$A$43</f>
        <v>136</v>
      </c>
      <c r="B643" s="93" t="str">
        <f>IF(B$43="","",B$43)</f>
        <v/>
      </c>
      <c r="C643" s="65" t="str">
        <f>IF($C$43="","",$C$43)</f>
        <v/>
      </c>
      <c r="D643" s="66" t="str">
        <f t="shared" ca="1" si="20"/>
        <v/>
      </c>
      <c r="E643" s="67"/>
      <c r="F643" s="64">
        <f>$F$43</f>
        <v>236</v>
      </c>
      <c r="G643" s="154" t="str">
        <f>IF(G$43="","",G$43)</f>
        <v>B</v>
      </c>
      <c r="H643" s="65" t="str">
        <f>IF($H$43="","",$H$43)</f>
        <v>Schule und Bildung Kinder</v>
      </c>
      <c r="I643" s="66">
        <f t="shared" ca="1" si="21"/>
        <v>0</v>
      </c>
      <c r="Q643" s="112" t="str">
        <f>IF(Q$43="","",Q$43)</f>
        <v/>
      </c>
      <c r="S643" s="112" t="str">
        <f>IF(S$43="","",S$43)</f>
        <v/>
      </c>
    </row>
    <row r="644" spans="1:19" ht="13.5" customHeight="1" thickBot="1">
      <c r="A644" s="64">
        <f>$A$44</f>
        <v>137</v>
      </c>
      <c r="B644" s="93" t="str">
        <f>IF(B$44="","",B$44)</f>
        <v/>
      </c>
      <c r="C644" s="65" t="str">
        <f>IF($C$44="","",$C$44)</f>
        <v/>
      </c>
      <c r="D644" s="66" t="str">
        <f t="shared" ca="1" si="20"/>
        <v/>
      </c>
      <c r="E644" s="67"/>
      <c r="F644" s="64">
        <f>$F$44</f>
        <v>237</v>
      </c>
      <c r="G644" s="154" t="str">
        <f>IF(G$44="","",G$44)</f>
        <v>B</v>
      </c>
      <c r="H644" s="65" t="str">
        <f>IF($H$44="","",$H$44)</f>
        <v>Org. Freizeitaktivitäten der Kinder</v>
      </c>
      <c r="I644" s="66">
        <f t="shared" ca="1" si="21"/>
        <v>0</v>
      </c>
      <c r="Q644" s="105">
        <f>SUMIF($B$607:$B$657,"H",$D$607:$D$657)</f>
        <v>0</v>
      </c>
      <c r="R644" s="104">
        <f>Q644+S644</f>
        <v>0</v>
      </c>
      <c r="S644" s="106">
        <f>SUMIF($G$607:$G$657,"H",$I$607:$I$657)</f>
        <v>0</v>
      </c>
    </row>
    <row r="645" spans="1:19" ht="13.5" customHeight="1">
      <c r="A645" s="64">
        <f>$A$45</f>
        <v>138</v>
      </c>
      <c r="B645" s="93" t="str">
        <f>IF(B$45="","",B$45)</f>
        <v/>
      </c>
      <c r="C645" s="65" t="str">
        <f>IF($C$45="","",$C$45)</f>
        <v/>
      </c>
      <c r="D645" s="66" t="str">
        <f t="shared" ca="1" si="20"/>
        <v/>
      </c>
      <c r="E645" s="67"/>
      <c r="F645" s="64">
        <f>$F$45</f>
        <v>238</v>
      </c>
      <c r="G645" s="93" t="str">
        <f>IF(G$45="","",G$45)</f>
        <v/>
      </c>
      <c r="H645" s="65" t="str">
        <f>IF($H$45="","",$H$45)</f>
        <v/>
      </c>
      <c r="I645" s="66" t="str">
        <f t="shared" ca="1" si="21"/>
        <v/>
      </c>
    </row>
    <row r="646" spans="1:19" ht="13.5" customHeight="1" thickBot="1">
      <c r="A646" s="64">
        <f>$A$46</f>
        <v>139</v>
      </c>
      <c r="B646" s="93" t="str">
        <f>IF(B$46="","",B$46)</f>
        <v/>
      </c>
      <c r="C646" s="65" t="str">
        <f>IF($C$46="","",$C$46)</f>
        <v/>
      </c>
      <c r="D646" s="66" t="str">
        <f t="shared" ca="1" si="20"/>
        <v/>
      </c>
      <c r="E646" s="67"/>
      <c r="F646" s="64">
        <f>$F$46</f>
        <v>239</v>
      </c>
      <c r="G646" s="154" t="str">
        <f>IF(G$46="","",G$46)</f>
        <v>B</v>
      </c>
      <c r="H646" s="65" t="str">
        <f>IF($H$46="","",$H$46)</f>
        <v>Wohltätige Spenden</v>
      </c>
      <c r="I646" s="66">
        <f t="shared" ca="1" si="21"/>
        <v>0</v>
      </c>
    </row>
    <row r="647" spans="1:19" ht="13.5" customHeight="1">
      <c r="A647" s="64">
        <f>$A$47</f>
        <v>140</v>
      </c>
      <c r="B647" s="93" t="str">
        <f>IF(B$47="","",B$47)</f>
        <v/>
      </c>
      <c r="C647" s="65" t="str">
        <f>IF($C$47="","",$C$47)</f>
        <v/>
      </c>
      <c r="D647" s="66" t="str">
        <f t="shared" ca="1" si="20"/>
        <v/>
      </c>
      <c r="E647" s="67"/>
      <c r="F647" s="64">
        <f>$F$47</f>
        <v>240</v>
      </c>
      <c r="G647" s="154" t="str">
        <f>IF(G$47="","",G$47)</f>
        <v>B</v>
      </c>
      <c r="H647" s="65" t="str">
        <f>IF($H$47="","",$H$47)</f>
        <v>Vorsorgesparen 3a / PK Einkauf</v>
      </c>
      <c r="I647" s="66">
        <f t="shared" ca="1" si="21"/>
        <v>0</v>
      </c>
      <c r="Q647" s="101" t="s">
        <v>93</v>
      </c>
      <c r="S647" s="101" t="s">
        <v>102</v>
      </c>
    </row>
    <row r="648" spans="1:19" ht="13.5" customHeight="1">
      <c r="A648" s="64">
        <f>$A$48</f>
        <v>141</v>
      </c>
      <c r="B648" s="93" t="str">
        <f>IF(B$48="","",B$48)</f>
        <v/>
      </c>
      <c r="C648" s="65" t="str">
        <f>IF($C$48="","",$C$48)</f>
        <v/>
      </c>
      <c r="D648" s="66" t="str">
        <f t="shared" ca="1" si="20"/>
        <v/>
      </c>
      <c r="E648" s="67"/>
      <c r="F648" s="64">
        <f>$F$48</f>
        <v>241</v>
      </c>
      <c r="G648" s="93" t="str">
        <f>IF(G$48="","",G$48)</f>
        <v/>
      </c>
      <c r="H648" s="65" t="str">
        <f>IF($H$48="","",$H$48)</f>
        <v/>
      </c>
      <c r="I648" s="66" t="str">
        <f t="shared" ca="1" si="21"/>
        <v/>
      </c>
      <c r="Q648" s="112" t="str">
        <f>IF(Q$48="","",Q$48)</f>
        <v/>
      </c>
      <c r="S648" s="112" t="str">
        <f>IF(S$48="","",S$48)</f>
        <v/>
      </c>
    </row>
    <row r="649" spans="1:19" ht="13.5" customHeight="1" thickBot="1">
      <c r="A649" s="64">
        <f>$A$49</f>
        <v>142</v>
      </c>
      <c r="B649" s="93" t="str">
        <f>IF(B$49="","",B$49)</f>
        <v/>
      </c>
      <c r="C649" s="65" t="str">
        <f>IF($C$49="","",$C$49)</f>
        <v/>
      </c>
      <c r="D649" s="66" t="str">
        <f t="shared" ca="1" si="20"/>
        <v/>
      </c>
      <c r="E649" s="67"/>
      <c r="F649" s="64">
        <f>$F$49</f>
        <v>242</v>
      </c>
      <c r="G649" s="93" t="str">
        <f>IF(G$49="","",G$49)</f>
        <v/>
      </c>
      <c r="H649" s="65" t="str">
        <f>IF($H$49="","",$H$49)</f>
        <v/>
      </c>
      <c r="I649" s="66" t="str">
        <f t="shared" ca="1" si="21"/>
        <v/>
      </c>
      <c r="Q649" s="105">
        <f>SUMIF($B$607:$B$657,"I",$D$607:$D$657)</f>
        <v>0</v>
      </c>
      <c r="R649" s="104">
        <f>Q649+S649</f>
        <v>0</v>
      </c>
      <c r="S649" s="106">
        <f>SUMIF($G$607:$G$657,"I",$I$607:$I$657)</f>
        <v>0</v>
      </c>
    </row>
    <row r="650" spans="1:19" ht="13.5" customHeight="1">
      <c r="A650" s="64">
        <f>$A$50</f>
        <v>143</v>
      </c>
      <c r="B650" s="93" t="str">
        <f>IF(B$50="","",B$50)</f>
        <v/>
      </c>
      <c r="C650" s="65" t="str">
        <f>IF($C$50="","",$C$50)</f>
        <v/>
      </c>
      <c r="D650" s="66" t="str">
        <f t="shared" ca="1" si="20"/>
        <v/>
      </c>
      <c r="E650" s="67"/>
      <c r="F650" s="64">
        <f>$F$50</f>
        <v>243</v>
      </c>
      <c r="G650" s="154" t="str">
        <f>IF(G$50="","",G$50)</f>
        <v>B</v>
      </c>
      <c r="H650" s="65" t="str">
        <f>IF($H$50="","",$H$50)</f>
        <v>Wasser</v>
      </c>
      <c r="I650" s="66">
        <f t="shared" ca="1" si="21"/>
        <v>0</v>
      </c>
    </row>
    <row r="651" spans="1:19" ht="13.5" customHeight="1" thickBot="1">
      <c r="A651" s="64">
        <f>$A$51</f>
        <v>144</v>
      </c>
      <c r="B651" s="93" t="str">
        <f>IF(B$51="","",B$51)</f>
        <v/>
      </c>
      <c r="C651" s="65" t="str">
        <f>IF($C$51="","",$C$51)</f>
        <v/>
      </c>
      <c r="D651" s="66" t="str">
        <f t="shared" ca="1" si="20"/>
        <v/>
      </c>
      <c r="E651" s="67"/>
      <c r="F651" s="64">
        <f>$F$51</f>
        <v>244</v>
      </c>
      <c r="G651" s="154" t="str">
        <f>IF(G$51="","",G$51)</f>
        <v>B</v>
      </c>
      <c r="H651" s="65" t="str">
        <f>IF($H$51="","",$H$51)</f>
        <v>Strom</v>
      </c>
      <c r="I651" s="66">
        <f t="shared" ca="1" si="21"/>
        <v>0</v>
      </c>
    </row>
    <row r="652" spans="1:19" ht="13.5" customHeight="1">
      <c r="A652" s="64">
        <f>$A$52</f>
        <v>145</v>
      </c>
      <c r="B652" s="93" t="str">
        <f>IF(B$52="","",B$52)</f>
        <v/>
      </c>
      <c r="C652" s="65" t="str">
        <f>IF($C$52="","",$C$52)</f>
        <v/>
      </c>
      <c r="D652" s="66" t="str">
        <f t="shared" ca="1" si="20"/>
        <v/>
      </c>
      <c r="E652" s="67"/>
      <c r="F652" s="64">
        <f>$F$52</f>
        <v>245</v>
      </c>
      <c r="G652" s="154" t="str">
        <f>IF(G$52="","",G$52)</f>
        <v>B</v>
      </c>
      <c r="H652" s="65" t="str">
        <f>IF($H$52="","",$H$52)</f>
        <v>Geschenke</v>
      </c>
      <c r="I652" s="66">
        <f t="shared" ca="1" si="21"/>
        <v>0</v>
      </c>
      <c r="Q652" s="102" t="s">
        <v>94</v>
      </c>
      <c r="S652" s="102" t="s">
        <v>103</v>
      </c>
    </row>
    <row r="653" spans="1:19" ht="13.5" customHeight="1">
      <c r="A653" s="64">
        <f>$A$53</f>
        <v>146</v>
      </c>
      <c r="B653" s="93" t="str">
        <f>IF(B$53="","",B$53)</f>
        <v/>
      </c>
      <c r="C653" s="65" t="str">
        <f>IF($C$53="","",$C$53)</f>
        <v/>
      </c>
      <c r="D653" s="66" t="str">
        <f t="shared" ca="1" si="20"/>
        <v/>
      </c>
      <c r="E653" s="67"/>
      <c r="F653" s="64">
        <f>$F$53</f>
        <v>246</v>
      </c>
      <c r="G653" s="154" t="str">
        <f>IF(G$53="","",G$53)</f>
        <v>B</v>
      </c>
      <c r="H653" s="65" t="str">
        <f>IF($H$53="","",$H$53)</f>
        <v>Erwachsenenbildung</v>
      </c>
      <c r="I653" s="66">
        <f t="shared" ca="1" si="21"/>
        <v>0</v>
      </c>
      <c r="Q653" s="112" t="str">
        <f>IF(Q$53="","",Q$53)</f>
        <v/>
      </c>
      <c r="S653" s="112" t="str">
        <f>IF(S$53="","",S$53)</f>
        <v/>
      </c>
    </row>
    <row r="654" spans="1:19" ht="13.5" customHeight="1" thickBot="1">
      <c r="A654" s="64">
        <f>$A$54</f>
        <v>147</v>
      </c>
      <c r="B654" s="154" t="str">
        <f>IF(B$54="","",B$54)</f>
        <v>B</v>
      </c>
      <c r="C654" s="65" t="str">
        <f>IF($C$54="","",$C$54)</f>
        <v>Diverse Privateinnahmen</v>
      </c>
      <c r="D654" s="66">
        <f t="shared" ca="1" si="20"/>
        <v>0</v>
      </c>
      <c r="E654" s="67"/>
      <c r="F654" s="64">
        <f>$F$54</f>
        <v>247</v>
      </c>
      <c r="G654" s="154" t="str">
        <f>IF(G$54="","",G$54)</f>
        <v>B</v>
      </c>
      <c r="H654" s="65" t="str">
        <f>IF($H$54="","",$H$54)</f>
        <v>Diverse Privatausgaben</v>
      </c>
      <c r="I654" s="66">
        <f t="shared" ca="1" si="21"/>
        <v>0</v>
      </c>
      <c r="Q654" s="105">
        <f>SUMIF($B$607:$B$657,"K",$D$607:$D$657)</f>
        <v>0</v>
      </c>
      <c r="R654" s="104">
        <f>Q654+S654</f>
        <v>0</v>
      </c>
      <c r="S654" s="106">
        <f>SUMIF($G$607:$G$657,"K",$I$607:$I$657)</f>
        <v>0</v>
      </c>
    </row>
    <row r="655" spans="1:19" ht="13.5" customHeight="1">
      <c r="A655" s="64">
        <f>$A$55</f>
        <v>148</v>
      </c>
      <c r="B655" s="93" t="str">
        <f>IF(B$55="","",B$55)</f>
        <v/>
      </c>
      <c r="C655" s="65" t="str">
        <f>IF($C$55="","",$C$55)</f>
        <v/>
      </c>
      <c r="D655" s="66" t="str">
        <f t="shared" ca="1" si="20"/>
        <v/>
      </c>
      <c r="E655" s="67"/>
      <c r="F655" s="64">
        <f>$F$55</f>
        <v>248</v>
      </c>
      <c r="G655" s="154" t="str">
        <f>IF(G$55="","",G$55)</f>
        <v>B</v>
      </c>
      <c r="H655" s="65" t="str">
        <f>IF($H$55="","",$H$55)</f>
        <v>Private Vereinsbeiträge</v>
      </c>
      <c r="I655" s="66">
        <f t="shared" ca="1" si="21"/>
        <v>0</v>
      </c>
    </row>
    <row r="656" spans="1:19" ht="13.5" customHeight="1" thickBot="1">
      <c r="A656" s="64">
        <f>$A$56</f>
        <v>149</v>
      </c>
      <c r="B656" s="93" t="str">
        <f>IF(B$56="","",B$56)</f>
        <v/>
      </c>
      <c r="C656" s="65" t="str">
        <f>IF($C$56="","",$C$56)</f>
        <v/>
      </c>
      <c r="D656" s="66" t="str">
        <f t="shared" ca="1" si="20"/>
        <v/>
      </c>
      <c r="E656" s="67"/>
      <c r="F656" s="64">
        <f>$F$56</f>
        <v>249</v>
      </c>
      <c r="G656" s="154" t="str">
        <f>IF(G$56="","",G$56)</f>
        <v>B</v>
      </c>
      <c r="H656" s="65" t="str">
        <f>IF($H$56="","",$H$56)</f>
        <v>Spesen Vermögensverwaltung</v>
      </c>
      <c r="I656" s="66">
        <f t="shared" ca="1" si="21"/>
        <v>0</v>
      </c>
    </row>
    <row r="657" spans="1:19" ht="13.5" customHeight="1" thickBot="1">
      <c r="A657" s="64">
        <f>$A$57</f>
        <v>150</v>
      </c>
      <c r="B657" s="154" t="str">
        <f>IF(B$57="","",B$57)</f>
        <v>B</v>
      </c>
      <c r="C657" s="65" t="str">
        <f>IF($C$57="","",$C$57)</f>
        <v>Zinsen, Zinssteuererstattungen</v>
      </c>
      <c r="D657" s="66">
        <f t="shared" ca="1" si="20"/>
        <v>0</v>
      </c>
      <c r="E657" s="67"/>
      <c r="F657" s="64">
        <f>$F$57</f>
        <v>250</v>
      </c>
      <c r="G657" s="154" t="str">
        <f>IF(G$57="","",G$57)</f>
        <v>B</v>
      </c>
      <c r="H657" s="65" t="str">
        <f>IF($H$57="","",$H$57)</f>
        <v>Steuern</v>
      </c>
      <c r="I657" s="66">
        <f t="shared" ca="1" si="21"/>
        <v>0</v>
      </c>
      <c r="L657" s="119">
        <f ca="1">L609+L614+L619+L624+L629+L634+L639+L644+L649+L654</f>
        <v>0</v>
      </c>
      <c r="M657" s="120" t="s">
        <v>111</v>
      </c>
      <c r="N657" s="121">
        <f ca="1">N609+N614+N619+N624+N629+N634+N639+N644+N649+N654</f>
        <v>0</v>
      </c>
      <c r="Q657" s="119">
        <f ca="1">Q609+Q614+Q619+Q624+Q629+Q634+Q639+Q644+Q649+Q654</f>
        <v>0</v>
      </c>
      <c r="R657" s="120" t="s">
        <v>111</v>
      </c>
      <c r="S657" s="121">
        <f ca="1">S609+S614+S619+S624+S629+S634+S639+S644+S649+S654</f>
        <v>0</v>
      </c>
    </row>
    <row r="658" spans="1:19" ht="13.5" customHeight="1" thickTop="1" thickBot="1">
      <c r="A658" s="68" t="s">
        <v>38</v>
      </c>
      <c r="B658" s="91"/>
      <c r="C658" s="69"/>
      <c r="D658" s="70">
        <f ca="1">SUM(D607:D657)</f>
        <v>0</v>
      </c>
      <c r="F658" s="68" t="s">
        <v>39</v>
      </c>
      <c r="G658" s="91"/>
      <c r="H658" s="69"/>
      <c r="I658" s="70">
        <f ca="1">SUM(I607:I657)</f>
        <v>0</v>
      </c>
      <c r="L658" s="117">
        <f ca="1">$D$658</f>
        <v>0</v>
      </c>
      <c r="M658" s="41" t="s">
        <v>110</v>
      </c>
      <c r="N658" s="116">
        <f ca="1">$I$658</f>
        <v>0</v>
      </c>
      <c r="Q658" s="117">
        <f ca="1">$D$658</f>
        <v>0</v>
      </c>
      <c r="R658" s="41" t="s">
        <v>110</v>
      </c>
      <c r="S658" s="116">
        <f ca="1">$I$658</f>
        <v>0</v>
      </c>
    </row>
    <row r="659" spans="1:19" ht="13.5" customHeight="1" thickTop="1">
      <c r="A659" s="71" t="s">
        <v>109</v>
      </c>
      <c r="B659" s="92"/>
      <c r="C659" s="72"/>
      <c r="D659" s="148">
        <f ca="1">Nov.!$E$7</f>
        <v>0</v>
      </c>
      <c r="F659" s="71" t="s">
        <v>109</v>
      </c>
      <c r="G659" s="92"/>
      <c r="H659" s="72"/>
      <c r="I659" s="148">
        <f ca="1">Nov.!$G$7</f>
        <v>0</v>
      </c>
      <c r="L659" s="114">
        <f ca="1">L609+L614+L619+L624+L629+L634+L639+L644+L649+L654+SUMIF($B$607:$B$657,"",$D$607:$D$657)</f>
        <v>0</v>
      </c>
      <c r="M659" s="115" t="s">
        <v>107</v>
      </c>
      <c r="N659" s="114">
        <f ca="1">N609+N614+N619+N624+N629+N634+N639+N644+N649+N654+SUMIF($G$607:$G$657,"",$I$607:$I$657)</f>
        <v>0</v>
      </c>
      <c r="Q659" s="114">
        <f ca="1">Q609+Q614+Q619+Q624+Q629+Q634+Q639+Q644+Q649+Q654+SUMIF($B$607:$B$657,"",$D$607:$D$657)</f>
        <v>0</v>
      </c>
      <c r="R659" s="115" t="s">
        <v>107</v>
      </c>
      <c r="S659" s="114">
        <f ca="1">S609+S614+S619+S624+S629+S634+S639+S644+S649+S654+SUMIF($G$607:$G$657,"",$I$607:$I$657)</f>
        <v>0</v>
      </c>
    </row>
    <row r="660" spans="1:19" ht="13.5" customHeight="1"/>
    <row r="661" spans="1:19" ht="15.95" customHeight="1">
      <c r="A661" s="57" t="str">
        <f>$A$1</f>
        <v>Einnahmen und Ausgaben nach Kategorien</v>
      </c>
      <c r="B661" s="33"/>
      <c r="C661" s="58"/>
      <c r="D661" s="58"/>
      <c r="E661" s="58"/>
      <c r="F661" s="58"/>
      <c r="G661" s="34"/>
      <c r="H661" s="58"/>
      <c r="I661" s="59" t="str">
        <f>CONCATENATE("Dezember ",$A$2)</f>
        <v xml:space="preserve">Dezember </v>
      </c>
      <c r="L661" s="33" t="str">
        <f>CONCATENATE("Kategoriengruppen Dezember ",$A$2)</f>
        <v xml:space="preserve">Kategoriengruppen Dezember </v>
      </c>
      <c r="Q661" s="33" t="str">
        <f>CONCATENATE("Kategoriengruppen Dezember ",$A$2)</f>
        <v xml:space="preserve">Kategoriengruppen Dezember </v>
      </c>
    </row>
    <row r="662" spans="1:19" ht="13.5" customHeight="1"/>
    <row r="663" spans="1:19" ht="13.5" customHeight="1"/>
    <row r="664" spans="1:19" ht="13.5" customHeight="1">
      <c r="A664" s="60" t="s">
        <v>40</v>
      </c>
      <c r="B664" s="39"/>
      <c r="C664" s="60"/>
      <c r="D664" s="60"/>
      <c r="F664" s="60" t="s">
        <v>41</v>
      </c>
      <c r="G664" s="39"/>
      <c r="H664" s="60"/>
      <c r="I664" s="60"/>
      <c r="L664" s="39" t="s">
        <v>84</v>
      </c>
      <c r="M664" s="103" t="s">
        <v>106</v>
      </c>
      <c r="N664" s="39" t="s">
        <v>85</v>
      </c>
      <c r="Q664" s="39" t="s">
        <v>84</v>
      </c>
      <c r="R664" s="103" t="s">
        <v>106</v>
      </c>
      <c r="S664" s="39" t="s">
        <v>85</v>
      </c>
    </row>
    <row r="665" spans="1:19" ht="13.5" customHeight="1" thickBot="1"/>
    <row r="666" spans="1:19" ht="13.5" customHeight="1" thickTop="1" thickBot="1">
      <c r="A666" s="61" t="s">
        <v>24</v>
      </c>
      <c r="B666" s="90" t="s">
        <v>82</v>
      </c>
      <c r="C666" s="62" t="s">
        <v>25</v>
      </c>
      <c r="D666" s="63" t="str">
        <f>$D$6</f>
        <v>CHF</v>
      </c>
      <c r="F666" s="61" t="s">
        <v>24</v>
      </c>
      <c r="G666" s="90" t="s">
        <v>82</v>
      </c>
      <c r="H666" s="62" t="s">
        <v>25</v>
      </c>
      <c r="I666" s="63" t="str">
        <f>$D$6</f>
        <v>CHF</v>
      </c>
    </row>
    <row r="667" spans="1:19" ht="13.5" customHeight="1" thickTop="1">
      <c r="A667" s="64">
        <f>$A$7</f>
        <v>100</v>
      </c>
      <c r="B667" s="153" t="str">
        <f>IF(B$7="","",B$7)</f>
        <v>A</v>
      </c>
      <c r="C667" s="65" t="str">
        <f>IF($C$7="","",$C$7)</f>
        <v>Ladenverkauf</v>
      </c>
      <c r="D667" s="66">
        <f ca="1">IF(C667="","",SUMIF(INDIRECT("Dez.!$D$15:$D$16000"),A667,INDIRECT("Dez.!$E$15:$E$16000")))</f>
        <v>0</v>
      </c>
      <c r="E667" s="67"/>
      <c r="F667" s="64">
        <f>$F$7</f>
        <v>200</v>
      </c>
      <c r="G667" s="153" t="str">
        <f>IF(G$7="","",G$7)</f>
        <v>A</v>
      </c>
      <c r="H667" s="65" t="str">
        <f>IF($H$7="","",$H$7)</f>
        <v>Maschinen und Geräte</v>
      </c>
      <c r="I667" s="66">
        <f ca="1">IF(H667="","",SUMIF(INDIRECT("Dez.!$F$15:$F$16000"),F667,INDIRECT("Dez.!$G$15:$G$16000")))</f>
        <v>0</v>
      </c>
      <c r="L667" s="95" t="s">
        <v>83</v>
      </c>
      <c r="N667" s="95" t="s">
        <v>104</v>
      </c>
      <c r="Q667" s="95" t="s">
        <v>83</v>
      </c>
      <c r="S667" s="95" t="s">
        <v>104</v>
      </c>
    </row>
    <row r="668" spans="1:19" ht="13.5" customHeight="1">
      <c r="A668" s="64">
        <f>$A$8</f>
        <v>101</v>
      </c>
      <c r="B668" s="153" t="str">
        <f>IF(B$8="","",B$8)</f>
        <v>A</v>
      </c>
      <c r="C668" s="65" t="str">
        <f>IF($C$8="","",$C$8)</f>
        <v>Verkauf über Internet</v>
      </c>
      <c r="D668" s="66">
        <f t="shared" ref="D668:D717" ca="1" si="22">IF(C668="","",SUMIF(INDIRECT("Dez.!$D$15:$D$16000"),A668,INDIRECT("Dez.!$E$15:$E$16000")))</f>
        <v>0</v>
      </c>
      <c r="E668" s="67"/>
      <c r="F668" s="64">
        <f>$F$8</f>
        <v>201</v>
      </c>
      <c r="G668" s="153" t="str">
        <f>IF(G$8="","",G$8)</f>
        <v>A</v>
      </c>
      <c r="H668" s="65" t="str">
        <f>IF($H$8="","",$H$8)</f>
        <v>Ladenmiete</v>
      </c>
      <c r="I668" s="66">
        <f t="shared" ref="I668:I717" ca="1" si="23">IF(H668="","",SUMIF(INDIRECT("Dez.!$F$15:$F$16000"),F668,INDIRECT("Dez.!$G$15:$G$16000")))</f>
        <v>0</v>
      </c>
      <c r="L668" s="112" t="str">
        <f>IF(L$8="","",L$8)</f>
        <v>Landwirtschaft</v>
      </c>
      <c r="N668" s="112" t="str">
        <f>IF(N$8="","",N$8)</f>
        <v>Landwirtschaft</v>
      </c>
      <c r="Q668" s="112" t="str">
        <f>IF(Q$8="","",Q$8)</f>
        <v/>
      </c>
      <c r="S668" s="112" t="str">
        <f>IF(S$8="","",S$8)</f>
        <v/>
      </c>
    </row>
    <row r="669" spans="1:19" ht="13.5" customHeight="1" thickBot="1">
      <c r="A669" s="64">
        <f>$A$9</f>
        <v>102</v>
      </c>
      <c r="B669" s="93" t="str">
        <f>IF(B$9="","",B$9)</f>
        <v/>
      </c>
      <c r="C669" s="65" t="str">
        <f>IF($C$9="","",$C$9)</f>
        <v/>
      </c>
      <c r="D669" s="66" t="str">
        <f t="shared" ca="1" si="22"/>
        <v/>
      </c>
      <c r="E669" s="67"/>
      <c r="F669" s="64">
        <f>$F$9</f>
        <v>202</v>
      </c>
      <c r="G669" s="153" t="str">
        <f>IF(G$9="","",G$9)</f>
        <v>A</v>
      </c>
      <c r="H669" s="65" t="str">
        <f>IF($H$9="","",$H$9)</f>
        <v>Werbeausgaben</v>
      </c>
      <c r="I669" s="66">
        <f t="shared" ca="1" si="23"/>
        <v>0</v>
      </c>
      <c r="L669" s="105">
        <f ca="1">SUMIF($B$667:$B$717,"A",$D$667:$D$717)</f>
        <v>0</v>
      </c>
      <c r="M669" s="104">
        <f ca="1">L669+N669</f>
        <v>0</v>
      </c>
      <c r="N669" s="106">
        <f ca="1">SUMIF($G$667:$G$717,"A",$I$667:$I$717)</f>
        <v>0</v>
      </c>
      <c r="Q669" s="105">
        <f ca="1">SUMIF($B$667:$B$717,"A",$D$667:$D$717)</f>
        <v>0</v>
      </c>
      <c r="R669" s="104">
        <f ca="1">Q669+S669</f>
        <v>0</v>
      </c>
      <c r="S669" s="106">
        <f ca="1">SUMIF($G$667:$G$717,"A",$I$667:$I$717)</f>
        <v>0</v>
      </c>
    </row>
    <row r="670" spans="1:19" ht="13.5" customHeight="1">
      <c r="A670" s="64">
        <f>$A$10</f>
        <v>103</v>
      </c>
      <c r="B670" s="93" t="str">
        <f>IF(B$10="","",B$10)</f>
        <v/>
      </c>
      <c r="C670" s="65" t="str">
        <f>IF($C$10="","",$C$10)</f>
        <v/>
      </c>
      <c r="D670" s="66" t="str">
        <f t="shared" ca="1" si="22"/>
        <v/>
      </c>
      <c r="E670" s="67"/>
      <c r="F670" s="64">
        <f>$F$10</f>
        <v>203</v>
      </c>
      <c r="G670" s="153" t="str">
        <f>IF(G$10="","",G$10)</f>
        <v>A</v>
      </c>
      <c r="H670" s="65" t="str">
        <f>IF($H$10="","",$H$10)</f>
        <v>Löhne</v>
      </c>
      <c r="I670" s="66">
        <f t="shared" ca="1" si="23"/>
        <v>0</v>
      </c>
    </row>
    <row r="671" spans="1:19" ht="13.5" customHeight="1" thickBot="1">
      <c r="A671" s="64">
        <f>$A$11</f>
        <v>104</v>
      </c>
      <c r="B671" s="93" t="str">
        <f>IF(B$11="","",B$11)</f>
        <v/>
      </c>
      <c r="C671" s="65" t="str">
        <f>IF($C$11="","",$C$11)</f>
        <v/>
      </c>
      <c r="D671" s="66" t="str">
        <f t="shared" ca="1" si="22"/>
        <v/>
      </c>
      <c r="E671" s="67"/>
      <c r="F671" s="64">
        <f>$F$11</f>
        <v>204</v>
      </c>
      <c r="G671" s="93" t="str">
        <f>IF(G$11="","",G$11)</f>
        <v/>
      </c>
      <c r="H671" s="65" t="str">
        <f>IF($H$11="","",$H$11)</f>
        <v/>
      </c>
      <c r="I671" s="66" t="str">
        <f t="shared" ca="1" si="23"/>
        <v/>
      </c>
    </row>
    <row r="672" spans="1:19" ht="13.5" customHeight="1">
      <c r="A672" s="64">
        <f>$A$12</f>
        <v>105</v>
      </c>
      <c r="B672" s="93" t="str">
        <f>IF(B$12="","",B$12)</f>
        <v/>
      </c>
      <c r="C672" s="65" t="str">
        <f>IF($C$12="","",$C$12)</f>
        <v/>
      </c>
      <c r="D672" s="66" t="str">
        <f t="shared" ca="1" si="22"/>
        <v/>
      </c>
      <c r="E672" s="67"/>
      <c r="F672" s="64">
        <f>$F$12</f>
        <v>205</v>
      </c>
      <c r="G672" s="93" t="str">
        <f>IF(G$12="","",G$12)</f>
        <v/>
      </c>
      <c r="H672" s="65" t="str">
        <f>IF($H$12="","",$H$12)</f>
        <v/>
      </c>
      <c r="I672" s="66" t="str">
        <f t="shared" ca="1" si="23"/>
        <v/>
      </c>
      <c r="L672" s="96" t="s">
        <v>86</v>
      </c>
      <c r="N672" s="96" t="s">
        <v>95</v>
      </c>
      <c r="Q672" s="96" t="s">
        <v>86</v>
      </c>
      <c r="S672" s="96" t="s">
        <v>95</v>
      </c>
    </row>
    <row r="673" spans="1:19" ht="13.5" customHeight="1">
      <c r="A673" s="64">
        <f>$A$13</f>
        <v>106</v>
      </c>
      <c r="B673" s="93" t="str">
        <f>IF(B$13="","",B$13)</f>
        <v/>
      </c>
      <c r="C673" s="65" t="str">
        <f>IF($C$13="","",$C$13)</f>
        <v/>
      </c>
      <c r="D673" s="66" t="str">
        <f t="shared" ca="1" si="22"/>
        <v/>
      </c>
      <c r="E673" s="67"/>
      <c r="F673" s="64">
        <f>$F$13</f>
        <v>206</v>
      </c>
      <c r="G673" s="93" t="str">
        <f>IF(G$13="","",G$13)</f>
        <v/>
      </c>
      <c r="H673" s="65" t="str">
        <f>IF($H$13="","",$H$13)</f>
        <v/>
      </c>
      <c r="I673" s="66" t="str">
        <f t="shared" ca="1" si="23"/>
        <v/>
      </c>
      <c r="L673" s="112" t="str">
        <f>IF(L$13="","",L$13)</f>
        <v>Privat</v>
      </c>
      <c r="N673" s="112" t="str">
        <f>IF(N$13="","",N$13)</f>
        <v>Privat</v>
      </c>
      <c r="Q673" s="112" t="str">
        <f>IF(Q$13="","",Q$13)</f>
        <v/>
      </c>
      <c r="S673" s="112" t="str">
        <f>IF(S$13="","",S$13)</f>
        <v/>
      </c>
    </row>
    <row r="674" spans="1:19" ht="13.5" customHeight="1" thickBot="1">
      <c r="A674" s="64">
        <f>$A$14</f>
        <v>107</v>
      </c>
      <c r="B674" s="93" t="str">
        <f>IF(B$14="","",B$14)</f>
        <v/>
      </c>
      <c r="C674" s="65" t="str">
        <f>IF($C$14="","",$C$14)</f>
        <v/>
      </c>
      <c r="D674" s="66" t="str">
        <f t="shared" ca="1" si="22"/>
        <v/>
      </c>
      <c r="E674" s="67"/>
      <c r="F674" s="64">
        <f>$F$14</f>
        <v>207</v>
      </c>
      <c r="G674" s="93" t="str">
        <f>IF(G$14="","",G$14)</f>
        <v/>
      </c>
      <c r="H674" s="65" t="str">
        <f>IF($H$14="","",$H$14)</f>
        <v/>
      </c>
      <c r="I674" s="66" t="str">
        <f t="shared" ca="1" si="23"/>
        <v/>
      </c>
      <c r="L674" s="105">
        <f ca="1">SUMIF($B$667:$B$717,"B",$D$667:$D$717)</f>
        <v>0</v>
      </c>
      <c r="M674" s="104">
        <f ca="1">L674+N674</f>
        <v>0</v>
      </c>
      <c r="N674" s="106">
        <f ca="1">SUMIF($G$667:$G$717,"B",$I$667:$I$717)</f>
        <v>0</v>
      </c>
      <c r="Q674" s="105">
        <f ca="1">SUMIF($B$667:$B$717,"B",$D$667:$D$717)</f>
        <v>0</v>
      </c>
      <c r="R674" s="104">
        <f ca="1">Q674+S674</f>
        <v>0</v>
      </c>
      <c r="S674" s="106">
        <f ca="1">SUMIF($G$667:$G$717,"B",$I$667:$I$717)</f>
        <v>0</v>
      </c>
    </row>
    <row r="675" spans="1:19" ht="13.5" customHeight="1">
      <c r="A675" s="64">
        <f>$A$15</f>
        <v>108</v>
      </c>
      <c r="B675" s="93" t="str">
        <f>IF(B$15="","",B$15)</f>
        <v/>
      </c>
      <c r="C675" s="65" t="str">
        <f>IF($C$15="","",$C$15)</f>
        <v/>
      </c>
      <c r="D675" s="66" t="str">
        <f t="shared" ca="1" si="22"/>
        <v/>
      </c>
      <c r="E675" s="67"/>
      <c r="F675" s="64">
        <f>$F$15</f>
        <v>208</v>
      </c>
      <c r="G675" s="93" t="str">
        <f>IF(G$15="","",G$15)</f>
        <v/>
      </c>
      <c r="H675" s="65" t="str">
        <f>IF($H$15="","",$H$15)</f>
        <v/>
      </c>
      <c r="I675" s="66" t="str">
        <f t="shared" ca="1" si="23"/>
        <v/>
      </c>
    </row>
    <row r="676" spans="1:19" ht="13.5" customHeight="1" thickBot="1">
      <c r="A676" s="64">
        <f>$A$16</f>
        <v>109</v>
      </c>
      <c r="B676" s="93" t="str">
        <f>IF(B$16="","",B$16)</f>
        <v/>
      </c>
      <c r="C676" s="65" t="str">
        <f>IF($C$16="","",$C$16)</f>
        <v/>
      </c>
      <c r="D676" s="66" t="str">
        <f t="shared" ca="1" si="22"/>
        <v/>
      </c>
      <c r="E676" s="67"/>
      <c r="F676" s="64">
        <f>$F$16</f>
        <v>209</v>
      </c>
      <c r="G676" s="93" t="str">
        <f>IF(G$16="","",G$16)</f>
        <v/>
      </c>
      <c r="H676" s="65" t="str">
        <f>IF($H$16="","",$H$16)</f>
        <v/>
      </c>
      <c r="I676" s="66" t="str">
        <f t="shared" ca="1" si="23"/>
        <v/>
      </c>
    </row>
    <row r="677" spans="1:19" ht="13.5" customHeight="1">
      <c r="A677" s="64">
        <f>$A$17</f>
        <v>110</v>
      </c>
      <c r="B677" s="93" t="str">
        <f>IF(B$17="","",B$17)</f>
        <v/>
      </c>
      <c r="C677" s="65" t="str">
        <f>IF($C$17="","",$C$17)</f>
        <v/>
      </c>
      <c r="D677" s="66" t="str">
        <f t="shared" ca="1" si="22"/>
        <v/>
      </c>
      <c r="E677" s="67"/>
      <c r="F677" s="64">
        <f>$F$17</f>
        <v>210</v>
      </c>
      <c r="G677" s="93" t="str">
        <f>IF(G$17="","",G$17)</f>
        <v/>
      </c>
      <c r="H677" s="65" t="str">
        <f>IF($H$17="","",$H$17)</f>
        <v/>
      </c>
      <c r="I677" s="66" t="str">
        <f t="shared" ca="1" si="23"/>
        <v/>
      </c>
      <c r="Q677" s="109" t="s">
        <v>87</v>
      </c>
      <c r="S677" s="109" t="s">
        <v>96</v>
      </c>
    </row>
    <row r="678" spans="1:19" ht="13.5" customHeight="1">
      <c r="A678" s="64">
        <f>$A$18</f>
        <v>111</v>
      </c>
      <c r="B678" s="93" t="str">
        <f>IF(B$18="","",B$18)</f>
        <v/>
      </c>
      <c r="C678" s="65" t="str">
        <f>IF($C$18="","",$C$18)</f>
        <v/>
      </c>
      <c r="D678" s="66" t="str">
        <f t="shared" ca="1" si="22"/>
        <v/>
      </c>
      <c r="E678" s="67"/>
      <c r="F678" s="64">
        <f>$F$18</f>
        <v>211</v>
      </c>
      <c r="G678" s="93" t="str">
        <f>IF(G$18="","",G$18)</f>
        <v/>
      </c>
      <c r="H678" s="65" t="str">
        <f>IF($H$18="","",$H$18)</f>
        <v/>
      </c>
      <c r="I678" s="66" t="str">
        <f t="shared" ca="1" si="23"/>
        <v/>
      </c>
      <c r="Q678" s="112" t="str">
        <f>IF(Q$18="","",Q$18)</f>
        <v/>
      </c>
      <c r="S678" s="112" t="str">
        <f>IF(S$18="","",S$18)</f>
        <v/>
      </c>
    </row>
    <row r="679" spans="1:19" ht="13.5" customHeight="1" thickBot="1">
      <c r="A679" s="64">
        <f>$A$19</f>
        <v>112</v>
      </c>
      <c r="B679" s="93" t="str">
        <f>IF(B$19="","",B$19)</f>
        <v/>
      </c>
      <c r="C679" s="65" t="str">
        <f>IF($C$19="","",$C$19)</f>
        <v/>
      </c>
      <c r="D679" s="66" t="str">
        <f t="shared" ca="1" si="22"/>
        <v/>
      </c>
      <c r="E679" s="67"/>
      <c r="F679" s="64">
        <f>$F$19</f>
        <v>212</v>
      </c>
      <c r="G679" s="93" t="str">
        <f>IF(G$19="","",G$19)</f>
        <v/>
      </c>
      <c r="H679" s="65" t="str">
        <f>IF($H$19="","",$H$19)</f>
        <v/>
      </c>
      <c r="I679" s="66" t="str">
        <f t="shared" ca="1" si="23"/>
        <v/>
      </c>
      <c r="Q679" s="105">
        <f>SUMIF($B$667:$B$717,"C",$D$667:$D$717)</f>
        <v>0</v>
      </c>
      <c r="R679" s="104">
        <f>Q679+S679</f>
        <v>0</v>
      </c>
      <c r="S679" s="106">
        <f>SUMIF($G$667:$G$717,"C",$I$667:$I$717)</f>
        <v>0</v>
      </c>
    </row>
    <row r="680" spans="1:19" ht="13.5" customHeight="1">
      <c r="A680" s="64">
        <f>$A$20</f>
        <v>113</v>
      </c>
      <c r="B680" s="93" t="str">
        <f>IF(B$20="","",B$20)</f>
        <v/>
      </c>
      <c r="C680" s="65" t="str">
        <f>IF($C$20="","",$C$20)</f>
        <v/>
      </c>
      <c r="D680" s="66" t="str">
        <f t="shared" ca="1" si="22"/>
        <v/>
      </c>
      <c r="E680" s="67"/>
      <c r="F680" s="64">
        <f>$F$20</f>
        <v>213</v>
      </c>
      <c r="G680" s="93" t="str">
        <f>IF(G$20="","",G$20)</f>
        <v/>
      </c>
      <c r="H680" s="65" t="str">
        <f>IF($H$20="","",$H$20)</f>
        <v/>
      </c>
      <c r="I680" s="66" t="str">
        <f t="shared" ca="1" si="23"/>
        <v/>
      </c>
    </row>
    <row r="681" spans="1:19" ht="13.5" customHeight="1" thickBot="1">
      <c r="A681" s="64">
        <f>$A$21</f>
        <v>114</v>
      </c>
      <c r="B681" s="93" t="str">
        <f>IF(B$21="","",B$21)</f>
        <v/>
      </c>
      <c r="C681" s="65" t="str">
        <f>IF($C$21="","",$C$21)</f>
        <v/>
      </c>
      <c r="D681" s="66" t="str">
        <f t="shared" ca="1" si="22"/>
        <v/>
      </c>
      <c r="E681" s="67"/>
      <c r="F681" s="64">
        <f>$F$21</f>
        <v>214</v>
      </c>
      <c r="G681" s="93" t="str">
        <f>IF(G$21="","",G$21)</f>
        <v/>
      </c>
      <c r="H681" s="65" t="str">
        <f>IF($H$21="","",$H$21)</f>
        <v/>
      </c>
      <c r="I681" s="66" t="str">
        <f t="shared" ca="1" si="23"/>
        <v/>
      </c>
    </row>
    <row r="682" spans="1:19" ht="13.5" customHeight="1">
      <c r="A682" s="64">
        <f>$A$22</f>
        <v>115</v>
      </c>
      <c r="B682" s="93" t="str">
        <f>IF(B$22="","",B$22)</f>
        <v/>
      </c>
      <c r="C682" s="65" t="str">
        <f>IF($C$22="","",$C$22)</f>
        <v/>
      </c>
      <c r="D682" s="66" t="str">
        <f t="shared" ca="1" si="22"/>
        <v/>
      </c>
      <c r="E682" s="67"/>
      <c r="F682" s="64">
        <f>$F$22</f>
        <v>215</v>
      </c>
      <c r="G682" s="93" t="str">
        <f>IF(G$22="","",G$22)</f>
        <v/>
      </c>
      <c r="H682" s="65" t="str">
        <f>IF($H$22="","",$H$22)</f>
        <v/>
      </c>
      <c r="I682" s="66" t="str">
        <f t="shared" ca="1" si="23"/>
        <v/>
      </c>
      <c r="Q682" s="97" t="s">
        <v>88</v>
      </c>
      <c r="S682" s="97" t="s">
        <v>97</v>
      </c>
    </row>
    <row r="683" spans="1:19" ht="13.5" customHeight="1">
      <c r="A683" s="64">
        <f>$A$23</f>
        <v>116</v>
      </c>
      <c r="B683" s="93" t="str">
        <f>IF(B$23="","",B$23)</f>
        <v/>
      </c>
      <c r="C683" s="65" t="str">
        <f>IF($C$23="","",$C$23)</f>
        <v/>
      </c>
      <c r="D683" s="66" t="str">
        <f t="shared" ca="1" si="22"/>
        <v/>
      </c>
      <c r="E683" s="67"/>
      <c r="F683" s="64">
        <f>$F$23</f>
        <v>216</v>
      </c>
      <c r="G683" s="93" t="str">
        <f>IF(G$23="","",G$23)</f>
        <v/>
      </c>
      <c r="H683" s="65" t="str">
        <f>IF($H$23="","",$H$23)</f>
        <v/>
      </c>
      <c r="I683" s="66" t="str">
        <f t="shared" ca="1" si="23"/>
        <v/>
      </c>
      <c r="Q683" s="112" t="str">
        <f>IF(Q$23="","",Q$23)</f>
        <v/>
      </c>
      <c r="S683" s="112" t="str">
        <f>IF(S$23="","",S$23)</f>
        <v/>
      </c>
    </row>
    <row r="684" spans="1:19" ht="13.5" customHeight="1" thickBot="1">
      <c r="A684" s="64">
        <f>$A$24</f>
        <v>117</v>
      </c>
      <c r="B684" s="93" t="str">
        <f>IF(B$24="","",B$24)</f>
        <v/>
      </c>
      <c r="C684" s="65" t="str">
        <f>IF($C$24="","",$C$24)</f>
        <v/>
      </c>
      <c r="D684" s="66" t="str">
        <f t="shared" ca="1" si="22"/>
        <v/>
      </c>
      <c r="E684" s="67"/>
      <c r="F684" s="64">
        <f>$F$24</f>
        <v>217</v>
      </c>
      <c r="G684" s="93" t="str">
        <f>IF(G$24="","",G$24)</f>
        <v/>
      </c>
      <c r="H684" s="65" t="str">
        <f>IF($H$24="","",$H$24)</f>
        <v/>
      </c>
      <c r="I684" s="66" t="str">
        <f t="shared" ca="1" si="23"/>
        <v/>
      </c>
      <c r="Q684" s="105">
        <f>SUMIF($B$667:$B$717,"D",$D$667:$D$717)</f>
        <v>0</v>
      </c>
      <c r="R684" s="104">
        <f>Q684+S684</f>
        <v>0</v>
      </c>
      <c r="S684" s="106">
        <f>SUMIF($G$667:$G$717,"D",$I$667:$I$717)</f>
        <v>0</v>
      </c>
    </row>
    <row r="685" spans="1:19" ht="13.5" customHeight="1">
      <c r="A685" s="64">
        <f>$A$25</f>
        <v>118</v>
      </c>
      <c r="B685" s="93" t="str">
        <f>IF(B$25="","",B$25)</f>
        <v/>
      </c>
      <c r="C685" s="65" t="str">
        <f>IF($C$25="","",$C$25)</f>
        <v/>
      </c>
      <c r="D685" s="66" t="str">
        <f t="shared" ca="1" si="22"/>
        <v/>
      </c>
      <c r="E685" s="67"/>
      <c r="F685" s="64">
        <f>$F$25</f>
        <v>218</v>
      </c>
      <c r="G685" s="93" t="str">
        <f>IF(G$25="","",G$25)</f>
        <v/>
      </c>
      <c r="H685" s="65" t="str">
        <f>IF($H$25="","",$H$25)</f>
        <v/>
      </c>
      <c r="I685" s="66" t="str">
        <f t="shared" ca="1" si="23"/>
        <v/>
      </c>
    </row>
    <row r="686" spans="1:19" ht="13.5" customHeight="1" thickBot="1">
      <c r="A686" s="64">
        <f>$A$26</f>
        <v>119</v>
      </c>
      <c r="B686" s="93" t="str">
        <f>IF(B$26="","",B$26)</f>
        <v/>
      </c>
      <c r="C686" s="65" t="str">
        <f>IF($C$26="","",$C$26)</f>
        <v/>
      </c>
      <c r="D686" s="66" t="str">
        <f t="shared" ca="1" si="22"/>
        <v/>
      </c>
      <c r="E686" s="67"/>
      <c r="F686" s="64">
        <f>$F$26</f>
        <v>219</v>
      </c>
      <c r="G686" s="93" t="str">
        <f>IF(G$26="","",G$26)</f>
        <v/>
      </c>
      <c r="H686" s="65" t="str">
        <f>IF($H$26="","",$H$26)</f>
        <v/>
      </c>
      <c r="I686" s="66" t="str">
        <f t="shared" ca="1" si="23"/>
        <v/>
      </c>
    </row>
    <row r="687" spans="1:19" ht="13.5" customHeight="1">
      <c r="A687" s="64">
        <f>$A$27</f>
        <v>120</v>
      </c>
      <c r="B687" s="93" t="str">
        <f>IF(B$27="","",B$27)</f>
        <v/>
      </c>
      <c r="C687" s="65" t="str">
        <f>IF($C$27="","",$C$27)</f>
        <v/>
      </c>
      <c r="D687" s="66" t="str">
        <f t="shared" ca="1" si="22"/>
        <v/>
      </c>
      <c r="E687" s="67"/>
      <c r="F687" s="64">
        <f>$F$27</f>
        <v>220</v>
      </c>
      <c r="G687" s="93" t="str">
        <f>IF(G$27="","",G$27)</f>
        <v/>
      </c>
      <c r="H687" s="65" t="str">
        <f>IF($H$27="","",$H$27)</f>
        <v/>
      </c>
      <c r="I687" s="66" t="str">
        <f t="shared" ca="1" si="23"/>
        <v/>
      </c>
      <c r="Q687" s="110" t="s">
        <v>89</v>
      </c>
      <c r="S687" s="110" t="s">
        <v>98</v>
      </c>
    </row>
    <row r="688" spans="1:19" ht="13.5" customHeight="1">
      <c r="A688" s="64">
        <f>$A$28</f>
        <v>121</v>
      </c>
      <c r="B688" s="93" t="str">
        <f>IF(B$28="","",B$28)</f>
        <v/>
      </c>
      <c r="C688" s="65" t="str">
        <f>IF($C$28="","",$C$28)</f>
        <v/>
      </c>
      <c r="D688" s="66" t="str">
        <f t="shared" ca="1" si="22"/>
        <v/>
      </c>
      <c r="E688" s="67"/>
      <c r="F688" s="64">
        <f>$F$28</f>
        <v>221</v>
      </c>
      <c r="G688" s="93" t="str">
        <f>IF(G$28="","",G$28)</f>
        <v/>
      </c>
      <c r="H688" s="65" t="str">
        <f>IF($H$28="","",$H$28)</f>
        <v/>
      </c>
      <c r="I688" s="66" t="str">
        <f t="shared" ca="1" si="23"/>
        <v/>
      </c>
      <c r="Q688" s="112" t="str">
        <f>IF(Q$28="","",Q$28)</f>
        <v/>
      </c>
      <c r="S688" s="112" t="str">
        <f>IF(S$28="","",S$28)</f>
        <v/>
      </c>
    </row>
    <row r="689" spans="1:19" ht="13.5" customHeight="1" thickBot="1">
      <c r="A689" s="64">
        <f>$A$29</f>
        <v>122</v>
      </c>
      <c r="B689" s="93" t="str">
        <f>IF(B$29="","",B$29)</f>
        <v/>
      </c>
      <c r="C689" s="65" t="str">
        <f>IF($C$29="","",$C$29)</f>
        <v/>
      </c>
      <c r="D689" s="66" t="str">
        <f t="shared" ca="1" si="22"/>
        <v/>
      </c>
      <c r="E689" s="67"/>
      <c r="F689" s="64">
        <f>$F$29</f>
        <v>222</v>
      </c>
      <c r="G689" s="93" t="str">
        <f>IF(G$29="","",G$29)</f>
        <v/>
      </c>
      <c r="H689" s="65" t="str">
        <f>IF($H$29="","",$H$29)</f>
        <v/>
      </c>
      <c r="I689" s="66" t="str">
        <f t="shared" ca="1" si="23"/>
        <v/>
      </c>
      <c r="Q689" s="105">
        <f>SUMIF($B$667:$B$717,"E",$D$667:$D$717)</f>
        <v>0</v>
      </c>
      <c r="R689" s="104">
        <f>Q689+S689</f>
        <v>0</v>
      </c>
      <c r="S689" s="106">
        <f>SUMIF($G$667:$G$717,"E",$I$667:$I$717)</f>
        <v>0</v>
      </c>
    </row>
    <row r="690" spans="1:19" ht="13.5" customHeight="1">
      <c r="A690" s="64">
        <f>$A$30</f>
        <v>123</v>
      </c>
      <c r="B690" s="93" t="str">
        <f>IF(B$30="","",B$30)</f>
        <v/>
      </c>
      <c r="C690" s="65" t="str">
        <f>IF($C$30="","",$C$30)</f>
        <v/>
      </c>
      <c r="D690" s="66" t="str">
        <f t="shared" ca="1" si="22"/>
        <v/>
      </c>
      <c r="E690" s="67"/>
      <c r="F690" s="64">
        <f>$F$30</f>
        <v>223</v>
      </c>
      <c r="G690" s="93" t="str">
        <f>IF(G$30="","",G$30)</f>
        <v/>
      </c>
      <c r="H690" s="65" t="str">
        <f>IF($H$30="","",$H$30)</f>
        <v/>
      </c>
      <c r="I690" s="66" t="str">
        <f t="shared" ca="1" si="23"/>
        <v/>
      </c>
    </row>
    <row r="691" spans="1:19" ht="13.5" customHeight="1" thickBot="1">
      <c r="A691" s="64">
        <f>$A$31</f>
        <v>124</v>
      </c>
      <c r="B691" s="93" t="str">
        <f>IF(B$31="","",B$31)</f>
        <v/>
      </c>
      <c r="C691" s="65" t="str">
        <f>IF($C$31="","",$C$31)</f>
        <v/>
      </c>
      <c r="D691" s="66" t="str">
        <f t="shared" ca="1" si="22"/>
        <v/>
      </c>
      <c r="E691" s="67"/>
      <c r="F691" s="64">
        <f>$F$31</f>
        <v>224</v>
      </c>
      <c r="G691" s="93" t="str">
        <f>IF(G$31="","",G$31)</f>
        <v/>
      </c>
      <c r="H691" s="65" t="str">
        <f>IF($H$31="","",$H$31)</f>
        <v/>
      </c>
      <c r="I691" s="66" t="str">
        <f t="shared" ca="1" si="23"/>
        <v/>
      </c>
    </row>
    <row r="692" spans="1:19" ht="13.5" customHeight="1">
      <c r="A692" s="64">
        <f>$A$32</f>
        <v>125</v>
      </c>
      <c r="B692" s="154" t="str">
        <f>IF(B$32="","",B$32)</f>
        <v>B</v>
      </c>
      <c r="C692" s="65" t="str">
        <f>IF($C$32="","",$C$32)</f>
        <v>Lohn Nebenerwerb</v>
      </c>
      <c r="D692" s="66">
        <f t="shared" ca="1" si="22"/>
        <v>0</v>
      </c>
      <c r="E692" s="67"/>
      <c r="F692" s="64">
        <f>$F$32</f>
        <v>225</v>
      </c>
      <c r="G692" s="154" t="str">
        <f>IF(G$32="","",G$32)</f>
        <v>B</v>
      </c>
      <c r="H692" s="65" t="str">
        <f>IF($H$32="","",$H$32)</f>
        <v>Nahrung, Kleider, Körperpflege</v>
      </c>
      <c r="I692" s="66">
        <f t="shared" ca="1" si="23"/>
        <v>0</v>
      </c>
      <c r="Q692" s="98" t="s">
        <v>90</v>
      </c>
      <c r="S692" s="98" t="s">
        <v>99</v>
      </c>
    </row>
    <row r="693" spans="1:19" ht="13.5" customHeight="1">
      <c r="A693" s="64">
        <f>$A$33</f>
        <v>126</v>
      </c>
      <c r="B693" s="93" t="str">
        <f>IF(B$33="","",B$33)</f>
        <v/>
      </c>
      <c r="C693" s="65" t="str">
        <f>IF($C$33="","",$C$33)</f>
        <v/>
      </c>
      <c r="D693" s="66" t="str">
        <f t="shared" ca="1" si="22"/>
        <v/>
      </c>
      <c r="E693" s="67"/>
      <c r="F693" s="64">
        <f>$F$33</f>
        <v>226</v>
      </c>
      <c r="G693" s="154" t="str">
        <f>IF(G$33="","",G$33)</f>
        <v>B</v>
      </c>
      <c r="H693" s="65" t="str">
        <f>IF($H$33="","",$H$33)</f>
        <v>Autokosten</v>
      </c>
      <c r="I693" s="66">
        <f t="shared" ca="1" si="23"/>
        <v>0</v>
      </c>
      <c r="Q693" s="112" t="str">
        <f>IF(Q$33="","",Q$33)</f>
        <v/>
      </c>
      <c r="S693" s="112" t="str">
        <f>IF(S$33="","",S$33)</f>
        <v/>
      </c>
    </row>
    <row r="694" spans="1:19" ht="13.5" customHeight="1" thickBot="1">
      <c r="A694" s="64">
        <f>$A$34</f>
        <v>127</v>
      </c>
      <c r="B694" s="93" t="str">
        <f>IF(B$34="","",B$34)</f>
        <v/>
      </c>
      <c r="C694" s="65" t="str">
        <f>IF($C$34="","",$C$34)</f>
        <v/>
      </c>
      <c r="D694" s="66" t="str">
        <f t="shared" ca="1" si="22"/>
        <v/>
      </c>
      <c r="E694" s="67"/>
      <c r="F694" s="64">
        <f>$F$34</f>
        <v>227</v>
      </c>
      <c r="G694" s="154" t="str">
        <f>IF(G$34="","",G$34)</f>
        <v>B</v>
      </c>
      <c r="H694" s="65" t="str">
        <f>IF($H$34="","",$H$34)</f>
        <v>Gesundheit, Krankenkasse, Zahnarzt</v>
      </c>
      <c r="I694" s="66">
        <f t="shared" ca="1" si="23"/>
        <v>0</v>
      </c>
      <c r="Q694" s="105">
        <f>SUMIF($B$667:$B$717,"F",$D$667:$D$717)</f>
        <v>0</v>
      </c>
      <c r="R694" s="104">
        <f>Q694+S694</f>
        <v>0</v>
      </c>
      <c r="S694" s="106">
        <f>SUMIF($G$667:$G$717,"F",$I$667:$I$717)</f>
        <v>0</v>
      </c>
    </row>
    <row r="695" spans="1:19" ht="13.5" customHeight="1">
      <c r="A695" s="64">
        <f>$A$35</f>
        <v>128</v>
      </c>
      <c r="B695" s="93" t="str">
        <f>IF(B$35="","",B$35)</f>
        <v/>
      </c>
      <c r="C695" s="65" t="str">
        <f>IF($C$35="","",$C$35)</f>
        <v/>
      </c>
      <c r="D695" s="66" t="str">
        <f t="shared" ca="1" si="22"/>
        <v/>
      </c>
      <c r="E695" s="67"/>
      <c r="F695" s="64">
        <f>$F$35</f>
        <v>228</v>
      </c>
      <c r="G695" s="154" t="str">
        <f>IF(G$35="","",G$35)</f>
        <v>B</v>
      </c>
      <c r="H695" s="65" t="str">
        <f>IF($H$35="","",$H$35)</f>
        <v>Versicherungen allgemein</v>
      </c>
      <c r="I695" s="66">
        <f t="shared" ca="1" si="23"/>
        <v>0</v>
      </c>
    </row>
    <row r="696" spans="1:19" ht="13.5" customHeight="1" thickBot="1">
      <c r="A696" s="64">
        <f>$A$36</f>
        <v>129</v>
      </c>
      <c r="B696" s="93" t="str">
        <f>IF(B$36="","",B$36)</f>
        <v/>
      </c>
      <c r="C696" s="65" t="str">
        <f>IF($C$36="","",$C$36)</f>
        <v/>
      </c>
      <c r="D696" s="66" t="str">
        <f t="shared" ca="1" si="22"/>
        <v/>
      </c>
      <c r="E696" s="67"/>
      <c r="F696" s="64">
        <f>$F$36</f>
        <v>229</v>
      </c>
      <c r="G696" s="154" t="str">
        <f>IF(G$36="","",G$36)</f>
        <v>B</v>
      </c>
      <c r="H696" s="65" t="str">
        <f>IF($H$36="","",$H$36)</f>
        <v>Büro, Computer, Fotos</v>
      </c>
      <c r="I696" s="66">
        <f t="shared" ca="1" si="23"/>
        <v>0</v>
      </c>
    </row>
    <row r="697" spans="1:19" ht="13.5" customHeight="1">
      <c r="A697" s="64">
        <f>$A$37</f>
        <v>130</v>
      </c>
      <c r="B697" s="93" t="str">
        <f>IF(B$37="","",B$37)</f>
        <v/>
      </c>
      <c r="C697" s="65" t="str">
        <f>IF($C$37="","",$C$37)</f>
        <v/>
      </c>
      <c r="D697" s="66" t="str">
        <f t="shared" ca="1" si="22"/>
        <v/>
      </c>
      <c r="E697" s="67"/>
      <c r="F697" s="64">
        <f>$F$37</f>
        <v>230</v>
      </c>
      <c r="G697" s="154" t="str">
        <f>IF(G$37="","",G$37)</f>
        <v>B</v>
      </c>
      <c r="H697" s="65" t="str">
        <f>IF($H$37="","",$H$37)</f>
        <v>Ferien, Ausflüge</v>
      </c>
      <c r="I697" s="66">
        <f t="shared" ca="1" si="23"/>
        <v>0</v>
      </c>
      <c r="Q697" s="99" t="s">
        <v>91</v>
      </c>
      <c r="S697" s="99" t="s">
        <v>100</v>
      </c>
    </row>
    <row r="698" spans="1:19" ht="13.5" customHeight="1">
      <c r="A698" s="64">
        <f>$A$38</f>
        <v>131</v>
      </c>
      <c r="B698" s="93" t="str">
        <f>IF(B$38="","",B$38)</f>
        <v/>
      </c>
      <c r="C698" s="65" t="str">
        <f>IF($C$38="","",$C$38)</f>
        <v/>
      </c>
      <c r="D698" s="66" t="str">
        <f t="shared" ca="1" si="22"/>
        <v/>
      </c>
      <c r="E698" s="67"/>
      <c r="F698" s="64">
        <f>$F$38</f>
        <v>231</v>
      </c>
      <c r="G698" s="154" t="str">
        <f>IF(G$38="","",G$38)</f>
        <v>B</v>
      </c>
      <c r="H698" s="65" t="str">
        <f>IF($H$38="","",$H$38)</f>
        <v>Freizeit, Vergnügen, Unterhaltung</v>
      </c>
      <c r="I698" s="66">
        <f t="shared" ca="1" si="23"/>
        <v>0</v>
      </c>
      <c r="Q698" s="112" t="str">
        <f>IF(Q$38="","",Q$38)</f>
        <v/>
      </c>
      <c r="S698" s="112" t="str">
        <f>IF(S$38="","",S$38)</f>
        <v/>
      </c>
    </row>
    <row r="699" spans="1:19" ht="13.5" customHeight="1" thickBot="1">
      <c r="A699" s="64">
        <f>$A$39</f>
        <v>132</v>
      </c>
      <c r="B699" s="154" t="str">
        <f>IF(B$39="","",B$39)</f>
        <v>B</v>
      </c>
      <c r="C699" s="65" t="str">
        <f>IF($C$39="","",$C$39)</f>
        <v>Feuerwehrsold</v>
      </c>
      <c r="D699" s="66">
        <f t="shared" ca="1" si="22"/>
        <v>0</v>
      </c>
      <c r="E699" s="67"/>
      <c r="F699" s="64">
        <f>$F$39</f>
        <v>232</v>
      </c>
      <c r="G699" s="154" t="str">
        <f>IF(G$39="","",G$39)</f>
        <v>B</v>
      </c>
      <c r="H699" s="65" t="str">
        <f>IF($H$39="","",$H$39)</f>
        <v>Telefon</v>
      </c>
      <c r="I699" s="66">
        <f t="shared" ca="1" si="23"/>
        <v>0</v>
      </c>
      <c r="Q699" s="105">
        <f>SUMIF($B$667:$B$717,"G",$D$667:$D$717)</f>
        <v>0</v>
      </c>
      <c r="R699" s="104">
        <f>Q699+S699</f>
        <v>0</v>
      </c>
      <c r="S699" s="106">
        <f>SUMIF($G$667:$G$717,"G",$I$667:$I$717)</f>
        <v>0</v>
      </c>
    </row>
    <row r="700" spans="1:19" ht="13.5" customHeight="1">
      <c r="A700" s="64">
        <f>$A$40</f>
        <v>133</v>
      </c>
      <c r="B700" s="93" t="str">
        <f>IF(B$40="","",B$40)</f>
        <v/>
      </c>
      <c r="C700" s="65" t="str">
        <f>IF($C$40="","",$C$40)</f>
        <v/>
      </c>
      <c r="D700" s="66" t="str">
        <f t="shared" ca="1" si="22"/>
        <v/>
      </c>
      <c r="E700" s="67"/>
      <c r="F700" s="64">
        <f>$F$40</f>
        <v>233</v>
      </c>
      <c r="G700" s="154" t="str">
        <f>IF(G$40="","",G$40)</f>
        <v>B</v>
      </c>
      <c r="H700" s="65" t="str">
        <f>IF($H$40="","",$H$40)</f>
        <v>Öffentlicher Verkehr und Velo</v>
      </c>
      <c r="I700" s="66">
        <f t="shared" ca="1" si="23"/>
        <v>0</v>
      </c>
    </row>
    <row r="701" spans="1:19" ht="13.5" customHeight="1" thickBot="1">
      <c r="A701" s="64">
        <f>$A$41</f>
        <v>134</v>
      </c>
      <c r="B701" s="93" t="str">
        <f>IF(B$41="","",B$41)</f>
        <v/>
      </c>
      <c r="C701" s="65" t="str">
        <f>IF($C$41="","",$C$41)</f>
        <v/>
      </c>
      <c r="D701" s="66" t="str">
        <f t="shared" ca="1" si="22"/>
        <v/>
      </c>
      <c r="E701" s="67"/>
      <c r="F701" s="64">
        <f>$F$41</f>
        <v>234</v>
      </c>
      <c r="G701" s="154" t="str">
        <f>IF(G$41="","",G$41)</f>
        <v>B</v>
      </c>
      <c r="H701" s="65" t="str">
        <f>IF($H$41="","",$H$41)</f>
        <v>Möbel, Wohnungseinrichtung</v>
      </c>
      <c r="I701" s="66">
        <f t="shared" ca="1" si="23"/>
        <v>0</v>
      </c>
    </row>
    <row r="702" spans="1:19" ht="13.5" customHeight="1">
      <c r="A702" s="64">
        <f>$A$42</f>
        <v>135</v>
      </c>
      <c r="B702" s="93" t="str">
        <f>IF(B$42="","",B$42)</f>
        <v/>
      </c>
      <c r="C702" s="65" t="str">
        <f>IF($C$42="","",$C$42)</f>
        <v/>
      </c>
      <c r="D702" s="66" t="str">
        <f t="shared" ca="1" si="22"/>
        <v/>
      </c>
      <c r="E702" s="67"/>
      <c r="F702" s="64">
        <f>$F$42</f>
        <v>235</v>
      </c>
      <c r="G702" s="154" t="str">
        <f>IF(G$42="","",G$42)</f>
        <v>B</v>
      </c>
      <c r="H702" s="65" t="str">
        <f>IF($H$42="","",$H$42)</f>
        <v>Kosten IT Consulting / Webdesign</v>
      </c>
      <c r="I702" s="66">
        <f t="shared" ca="1" si="23"/>
        <v>0</v>
      </c>
      <c r="Q702" s="100" t="s">
        <v>92</v>
      </c>
      <c r="S702" s="100" t="s">
        <v>101</v>
      </c>
    </row>
    <row r="703" spans="1:19" ht="13.5" customHeight="1">
      <c r="A703" s="64">
        <f>$A$43</f>
        <v>136</v>
      </c>
      <c r="B703" s="93" t="str">
        <f>IF(B$43="","",B$43)</f>
        <v/>
      </c>
      <c r="C703" s="65" t="str">
        <f>IF($C$43="","",$C$43)</f>
        <v/>
      </c>
      <c r="D703" s="66" t="str">
        <f t="shared" ca="1" si="22"/>
        <v/>
      </c>
      <c r="E703" s="67"/>
      <c r="F703" s="64">
        <f>$F$43</f>
        <v>236</v>
      </c>
      <c r="G703" s="154" t="str">
        <f>IF(G$43="","",G$43)</f>
        <v>B</v>
      </c>
      <c r="H703" s="65" t="str">
        <f>IF($H$43="","",$H$43)</f>
        <v>Schule und Bildung Kinder</v>
      </c>
      <c r="I703" s="66">
        <f t="shared" ca="1" si="23"/>
        <v>0</v>
      </c>
      <c r="Q703" s="112" t="str">
        <f>IF(Q$43="","",Q$43)</f>
        <v/>
      </c>
      <c r="S703" s="112" t="str">
        <f>IF(S$43="","",S$43)</f>
        <v/>
      </c>
    </row>
    <row r="704" spans="1:19" ht="13.5" customHeight="1" thickBot="1">
      <c r="A704" s="64">
        <f>$A$44</f>
        <v>137</v>
      </c>
      <c r="B704" s="93" t="str">
        <f>IF(B$44="","",B$44)</f>
        <v/>
      </c>
      <c r="C704" s="65" t="str">
        <f>IF($C$44="","",$C$44)</f>
        <v/>
      </c>
      <c r="D704" s="66" t="str">
        <f t="shared" ca="1" si="22"/>
        <v/>
      </c>
      <c r="E704" s="67"/>
      <c r="F704" s="64">
        <f>$F$44</f>
        <v>237</v>
      </c>
      <c r="G704" s="154" t="str">
        <f>IF(G$44="","",G$44)</f>
        <v>B</v>
      </c>
      <c r="H704" s="65" t="str">
        <f>IF($H$44="","",$H$44)</f>
        <v>Org. Freizeitaktivitäten der Kinder</v>
      </c>
      <c r="I704" s="66">
        <f t="shared" ca="1" si="23"/>
        <v>0</v>
      </c>
      <c r="Q704" s="105">
        <f>SUMIF($B$667:$B$717,"H",$D$667:$D$717)</f>
        <v>0</v>
      </c>
      <c r="R704" s="104">
        <f>Q704+S704</f>
        <v>0</v>
      </c>
      <c r="S704" s="106">
        <f>SUMIF($G$667:$G$717,"H",$I$667:$I$717)</f>
        <v>0</v>
      </c>
    </row>
    <row r="705" spans="1:19" ht="13.5" customHeight="1">
      <c r="A705" s="64">
        <f>$A$45</f>
        <v>138</v>
      </c>
      <c r="B705" s="93" t="str">
        <f>IF(B$45="","",B$45)</f>
        <v/>
      </c>
      <c r="C705" s="65" t="str">
        <f>IF($C$45="","",$C$45)</f>
        <v/>
      </c>
      <c r="D705" s="66" t="str">
        <f t="shared" ca="1" si="22"/>
        <v/>
      </c>
      <c r="E705" s="67"/>
      <c r="F705" s="64">
        <f>$F$45</f>
        <v>238</v>
      </c>
      <c r="G705" s="93" t="str">
        <f>IF(G$45="","",G$45)</f>
        <v/>
      </c>
      <c r="H705" s="65" t="str">
        <f>IF($H$45="","",$H$45)</f>
        <v/>
      </c>
      <c r="I705" s="66" t="str">
        <f t="shared" ca="1" si="23"/>
        <v/>
      </c>
    </row>
    <row r="706" spans="1:19" ht="13.5" customHeight="1" thickBot="1">
      <c r="A706" s="64">
        <f>$A$46</f>
        <v>139</v>
      </c>
      <c r="B706" s="93" t="str">
        <f>IF(B$46="","",B$46)</f>
        <v/>
      </c>
      <c r="C706" s="65" t="str">
        <f>IF($C$46="","",$C$46)</f>
        <v/>
      </c>
      <c r="D706" s="66" t="str">
        <f t="shared" ca="1" si="22"/>
        <v/>
      </c>
      <c r="E706" s="67"/>
      <c r="F706" s="64">
        <f>$F$46</f>
        <v>239</v>
      </c>
      <c r="G706" s="154" t="str">
        <f>IF(G$46="","",G$46)</f>
        <v>B</v>
      </c>
      <c r="H706" s="65" t="str">
        <f>IF($H$46="","",$H$46)</f>
        <v>Wohltätige Spenden</v>
      </c>
      <c r="I706" s="66">
        <f t="shared" ca="1" si="23"/>
        <v>0</v>
      </c>
    </row>
    <row r="707" spans="1:19" ht="13.5" customHeight="1">
      <c r="A707" s="64">
        <f>$A$47</f>
        <v>140</v>
      </c>
      <c r="B707" s="93" t="str">
        <f>IF(B$47="","",B$47)</f>
        <v/>
      </c>
      <c r="C707" s="65" t="str">
        <f>IF($C$47="","",$C$47)</f>
        <v/>
      </c>
      <c r="D707" s="66" t="str">
        <f t="shared" ca="1" si="22"/>
        <v/>
      </c>
      <c r="E707" s="67"/>
      <c r="F707" s="64">
        <f>$F$47</f>
        <v>240</v>
      </c>
      <c r="G707" s="154" t="str">
        <f>IF(G$47="","",G$47)</f>
        <v>B</v>
      </c>
      <c r="H707" s="65" t="str">
        <f>IF($H$47="","",$H$47)</f>
        <v>Vorsorgesparen 3a / PK Einkauf</v>
      </c>
      <c r="I707" s="66">
        <f t="shared" ca="1" si="23"/>
        <v>0</v>
      </c>
      <c r="Q707" s="101" t="s">
        <v>93</v>
      </c>
      <c r="S707" s="101" t="s">
        <v>102</v>
      </c>
    </row>
    <row r="708" spans="1:19" ht="13.5" customHeight="1">
      <c r="A708" s="64">
        <f>$A$48</f>
        <v>141</v>
      </c>
      <c r="B708" s="93" t="str">
        <f>IF(B$48="","",B$48)</f>
        <v/>
      </c>
      <c r="C708" s="65" t="str">
        <f>IF($C$48="","",$C$48)</f>
        <v/>
      </c>
      <c r="D708" s="66" t="str">
        <f t="shared" ca="1" si="22"/>
        <v/>
      </c>
      <c r="E708" s="67"/>
      <c r="F708" s="64">
        <f>$F$48</f>
        <v>241</v>
      </c>
      <c r="G708" s="93" t="str">
        <f>IF(G$48="","",G$48)</f>
        <v/>
      </c>
      <c r="H708" s="65" t="str">
        <f>IF($H$48="","",$H$48)</f>
        <v/>
      </c>
      <c r="I708" s="66" t="str">
        <f t="shared" ca="1" si="23"/>
        <v/>
      </c>
      <c r="Q708" s="112" t="str">
        <f>IF(Q$48="","",Q$48)</f>
        <v/>
      </c>
      <c r="S708" s="112" t="str">
        <f>IF(S$48="","",S$48)</f>
        <v/>
      </c>
    </row>
    <row r="709" spans="1:19" ht="13.5" customHeight="1" thickBot="1">
      <c r="A709" s="64">
        <f>$A$49</f>
        <v>142</v>
      </c>
      <c r="B709" s="93" t="str">
        <f>IF(B$49="","",B$49)</f>
        <v/>
      </c>
      <c r="C709" s="65" t="str">
        <f>IF($C$49="","",$C$49)</f>
        <v/>
      </c>
      <c r="D709" s="66" t="str">
        <f t="shared" ca="1" si="22"/>
        <v/>
      </c>
      <c r="E709" s="67"/>
      <c r="F709" s="64">
        <f>$F$49</f>
        <v>242</v>
      </c>
      <c r="G709" s="93" t="str">
        <f>IF(G$49="","",G$49)</f>
        <v/>
      </c>
      <c r="H709" s="65" t="str">
        <f>IF($H$49="","",$H$49)</f>
        <v/>
      </c>
      <c r="I709" s="66" t="str">
        <f t="shared" ca="1" si="23"/>
        <v/>
      </c>
      <c r="Q709" s="105">
        <f>SUMIF($B$667:$B$717,"I",$D$667:$D$717)</f>
        <v>0</v>
      </c>
      <c r="R709" s="104">
        <f>Q709+S709</f>
        <v>0</v>
      </c>
      <c r="S709" s="106">
        <f>SUMIF($G$667:$G$717,"I",$I$667:$I$717)</f>
        <v>0</v>
      </c>
    </row>
    <row r="710" spans="1:19" ht="13.5" customHeight="1">
      <c r="A710" s="64">
        <f>$A$50</f>
        <v>143</v>
      </c>
      <c r="B710" s="93" t="str">
        <f>IF(B$50="","",B$50)</f>
        <v/>
      </c>
      <c r="C710" s="65" t="str">
        <f>IF($C$50="","",$C$50)</f>
        <v/>
      </c>
      <c r="D710" s="66" t="str">
        <f t="shared" ca="1" si="22"/>
        <v/>
      </c>
      <c r="E710" s="67"/>
      <c r="F710" s="64">
        <f>$F$50</f>
        <v>243</v>
      </c>
      <c r="G710" s="154" t="str">
        <f>IF(G$50="","",G$50)</f>
        <v>B</v>
      </c>
      <c r="H710" s="65" t="str">
        <f>IF($H$50="","",$H$50)</f>
        <v>Wasser</v>
      </c>
      <c r="I710" s="66">
        <f t="shared" ca="1" si="23"/>
        <v>0</v>
      </c>
    </row>
    <row r="711" spans="1:19" ht="13.5" customHeight="1" thickBot="1">
      <c r="A711" s="64">
        <f>$A$51</f>
        <v>144</v>
      </c>
      <c r="B711" s="93" t="str">
        <f>IF(B$51="","",B$51)</f>
        <v/>
      </c>
      <c r="C711" s="65" t="str">
        <f>IF($C$51="","",$C$51)</f>
        <v/>
      </c>
      <c r="D711" s="66" t="str">
        <f t="shared" ca="1" si="22"/>
        <v/>
      </c>
      <c r="E711" s="67"/>
      <c r="F711" s="64">
        <f>$F$51</f>
        <v>244</v>
      </c>
      <c r="G711" s="154" t="str">
        <f>IF(G$51="","",G$51)</f>
        <v>B</v>
      </c>
      <c r="H711" s="65" t="str">
        <f>IF($H$51="","",$H$51)</f>
        <v>Strom</v>
      </c>
      <c r="I711" s="66">
        <f t="shared" ca="1" si="23"/>
        <v>0</v>
      </c>
    </row>
    <row r="712" spans="1:19" ht="13.5" customHeight="1">
      <c r="A712" s="64">
        <f>$A$52</f>
        <v>145</v>
      </c>
      <c r="B712" s="93" t="str">
        <f>IF(B$52="","",B$52)</f>
        <v/>
      </c>
      <c r="C712" s="65" t="str">
        <f>IF($C$52="","",$C$52)</f>
        <v/>
      </c>
      <c r="D712" s="66" t="str">
        <f t="shared" ca="1" si="22"/>
        <v/>
      </c>
      <c r="E712" s="67"/>
      <c r="F712" s="64">
        <f>$F$52</f>
        <v>245</v>
      </c>
      <c r="G712" s="154" t="str">
        <f>IF(G$52="","",G$52)</f>
        <v>B</v>
      </c>
      <c r="H712" s="65" t="str">
        <f>IF($H$52="","",$H$52)</f>
        <v>Geschenke</v>
      </c>
      <c r="I712" s="66">
        <f t="shared" ca="1" si="23"/>
        <v>0</v>
      </c>
      <c r="Q712" s="102" t="s">
        <v>94</v>
      </c>
      <c r="S712" s="102" t="s">
        <v>103</v>
      </c>
    </row>
    <row r="713" spans="1:19" ht="13.5" customHeight="1">
      <c r="A713" s="64">
        <f>$A$53</f>
        <v>146</v>
      </c>
      <c r="B713" s="93" t="str">
        <f>IF(B$53="","",B$53)</f>
        <v/>
      </c>
      <c r="C713" s="65" t="str">
        <f>IF($C$53="","",$C$53)</f>
        <v/>
      </c>
      <c r="D713" s="66" t="str">
        <f t="shared" ca="1" si="22"/>
        <v/>
      </c>
      <c r="E713" s="67"/>
      <c r="F713" s="64">
        <f>$F$53</f>
        <v>246</v>
      </c>
      <c r="G713" s="154" t="str">
        <f>IF(G$53="","",G$53)</f>
        <v>B</v>
      </c>
      <c r="H713" s="65" t="str">
        <f>IF($H$53="","",$H$53)</f>
        <v>Erwachsenenbildung</v>
      </c>
      <c r="I713" s="66">
        <f t="shared" ca="1" si="23"/>
        <v>0</v>
      </c>
      <c r="Q713" s="112" t="str">
        <f>IF(Q$53="","",Q$53)</f>
        <v/>
      </c>
      <c r="S713" s="112" t="str">
        <f>IF(S$53="","",S$53)</f>
        <v/>
      </c>
    </row>
    <row r="714" spans="1:19" ht="13.5" customHeight="1" thickBot="1">
      <c r="A714" s="64">
        <f>$A$54</f>
        <v>147</v>
      </c>
      <c r="B714" s="154" t="str">
        <f>IF(B$54="","",B$54)</f>
        <v>B</v>
      </c>
      <c r="C714" s="65" t="str">
        <f>IF($C$54="","",$C$54)</f>
        <v>Diverse Privateinnahmen</v>
      </c>
      <c r="D714" s="66">
        <f t="shared" ca="1" si="22"/>
        <v>0</v>
      </c>
      <c r="E714" s="67"/>
      <c r="F714" s="64">
        <f>$F$54</f>
        <v>247</v>
      </c>
      <c r="G714" s="154" t="str">
        <f>IF(G$54="","",G$54)</f>
        <v>B</v>
      </c>
      <c r="H714" s="65" t="str">
        <f>IF($H$54="","",$H$54)</f>
        <v>Diverse Privatausgaben</v>
      </c>
      <c r="I714" s="66">
        <f t="shared" ca="1" si="23"/>
        <v>0</v>
      </c>
      <c r="Q714" s="105">
        <f>SUMIF($B$667:$B$717,"K",$D$667:$D$717)</f>
        <v>0</v>
      </c>
      <c r="R714" s="104">
        <f>Q714+S714</f>
        <v>0</v>
      </c>
      <c r="S714" s="106">
        <f>SUMIF($G$667:$G$717,"K",$I$667:$I$717)</f>
        <v>0</v>
      </c>
    </row>
    <row r="715" spans="1:19" ht="13.5" customHeight="1">
      <c r="A715" s="64">
        <f>$A$55</f>
        <v>148</v>
      </c>
      <c r="B715" s="93" t="str">
        <f>IF(B$55="","",B$55)</f>
        <v/>
      </c>
      <c r="C715" s="65" t="str">
        <f>IF($C$55="","",$C$55)</f>
        <v/>
      </c>
      <c r="D715" s="66" t="str">
        <f t="shared" ca="1" si="22"/>
        <v/>
      </c>
      <c r="E715" s="67"/>
      <c r="F715" s="64">
        <f>$F$55</f>
        <v>248</v>
      </c>
      <c r="G715" s="154" t="str">
        <f>IF(G$55="","",G$55)</f>
        <v>B</v>
      </c>
      <c r="H715" s="65" t="str">
        <f>IF($H$55="","",$H$55)</f>
        <v>Private Vereinsbeiträge</v>
      </c>
      <c r="I715" s="66">
        <f t="shared" ca="1" si="23"/>
        <v>0</v>
      </c>
    </row>
    <row r="716" spans="1:19" ht="13.5" customHeight="1" thickBot="1">
      <c r="A716" s="64">
        <f>$A$56</f>
        <v>149</v>
      </c>
      <c r="B716" s="93" t="str">
        <f>IF(B$56="","",B$56)</f>
        <v/>
      </c>
      <c r="C716" s="65" t="str">
        <f>IF($C$56="","",$C$56)</f>
        <v/>
      </c>
      <c r="D716" s="66" t="str">
        <f t="shared" ca="1" si="22"/>
        <v/>
      </c>
      <c r="E716" s="67"/>
      <c r="F716" s="64">
        <f>$F$56</f>
        <v>249</v>
      </c>
      <c r="G716" s="154" t="str">
        <f>IF(G$56="","",G$56)</f>
        <v>B</v>
      </c>
      <c r="H716" s="65" t="str">
        <f>IF($H$56="","",$H$56)</f>
        <v>Spesen Vermögensverwaltung</v>
      </c>
      <c r="I716" s="66">
        <f t="shared" ca="1" si="23"/>
        <v>0</v>
      </c>
    </row>
    <row r="717" spans="1:19" ht="13.5" customHeight="1" thickBot="1">
      <c r="A717" s="64">
        <f>$A$57</f>
        <v>150</v>
      </c>
      <c r="B717" s="154" t="str">
        <f>IF(B$57="","",B$57)</f>
        <v>B</v>
      </c>
      <c r="C717" s="65" t="str">
        <f>IF($C$57="","",$C$57)</f>
        <v>Zinsen, Zinssteuererstattungen</v>
      </c>
      <c r="D717" s="66">
        <f t="shared" ca="1" si="22"/>
        <v>0</v>
      </c>
      <c r="E717" s="67"/>
      <c r="F717" s="64">
        <f>$F$57</f>
        <v>250</v>
      </c>
      <c r="G717" s="154" t="str">
        <f>IF(G$57="","",G$57)</f>
        <v>B</v>
      </c>
      <c r="H717" s="65" t="str">
        <f>IF($H$57="","",$H$57)</f>
        <v>Steuern</v>
      </c>
      <c r="I717" s="66">
        <f t="shared" ca="1" si="23"/>
        <v>0</v>
      </c>
      <c r="L717" s="119">
        <f ca="1">L669+L674+L679+L684+L689+L694+L699+L704+L709+L714</f>
        <v>0</v>
      </c>
      <c r="M717" s="120" t="s">
        <v>111</v>
      </c>
      <c r="N717" s="121">
        <f ca="1">N669+N674+N679+N684+N689+N694+N699+N704+N709+N714</f>
        <v>0</v>
      </c>
      <c r="Q717" s="119">
        <f ca="1">Q669+Q674+Q679+Q684+Q689+Q694+Q699+Q704+Q709+Q714</f>
        <v>0</v>
      </c>
      <c r="R717" s="120" t="s">
        <v>111</v>
      </c>
      <c r="S717" s="121">
        <f ca="1">S669+S674+S679+S684+S689+S694+S699+S704+S709+S714</f>
        <v>0</v>
      </c>
    </row>
    <row r="718" spans="1:19" ht="13.5" customHeight="1" thickTop="1" thickBot="1">
      <c r="A718" s="68" t="s">
        <v>38</v>
      </c>
      <c r="B718" s="91"/>
      <c r="C718" s="69"/>
      <c r="D718" s="70">
        <f ca="1">SUM(D667:D717)</f>
        <v>0</v>
      </c>
      <c r="F718" s="68" t="s">
        <v>39</v>
      </c>
      <c r="G718" s="91"/>
      <c r="H718" s="69"/>
      <c r="I718" s="70">
        <f ca="1">SUM(I667:I717)</f>
        <v>0</v>
      </c>
      <c r="L718" s="117">
        <f ca="1">$D$718</f>
        <v>0</v>
      </c>
      <c r="M718" s="41" t="s">
        <v>110</v>
      </c>
      <c r="N718" s="116">
        <f ca="1">$I$718</f>
        <v>0</v>
      </c>
      <c r="Q718" s="117">
        <f ca="1">$D$718</f>
        <v>0</v>
      </c>
      <c r="R718" s="41" t="s">
        <v>110</v>
      </c>
      <c r="S718" s="116">
        <f ca="1">$I$718</f>
        <v>0</v>
      </c>
    </row>
    <row r="719" spans="1:19" ht="13.5" customHeight="1" thickTop="1">
      <c r="A719" s="71" t="s">
        <v>109</v>
      </c>
      <c r="B719" s="92"/>
      <c r="C719" s="72"/>
      <c r="D719" s="148">
        <f ca="1">Dez.!$E$7</f>
        <v>0</v>
      </c>
      <c r="F719" s="71" t="s">
        <v>109</v>
      </c>
      <c r="G719" s="92"/>
      <c r="H719" s="72"/>
      <c r="I719" s="148">
        <f ca="1">Dez.!$G$7</f>
        <v>0</v>
      </c>
      <c r="L719" s="114">
        <f ca="1">L669+L674+L679+L684+L689+L694+L699+L704+L709+L714+SUMIF($B$667:$B$717,"",$D$667:$D$717)</f>
        <v>0</v>
      </c>
      <c r="M719" s="115" t="s">
        <v>107</v>
      </c>
      <c r="N719" s="114">
        <f ca="1">N669+N674+N679+N684+N689+N694+N699+N704+N709+N714+SUMIF($G$667:$G$717,"",$I$667:$I$717)</f>
        <v>0</v>
      </c>
      <c r="Q719" s="114">
        <f ca="1">Q669+Q674+Q679+Q684+Q689+Q694+Q699+Q704+Q709+Q714+SUMIF($B$667:$B$717,"",$D$667:$D$717)</f>
        <v>0</v>
      </c>
      <c r="R719" s="115" t="s">
        <v>107</v>
      </c>
      <c r="S719" s="114">
        <f ca="1">S669+S674+S679+S684+S689+S694+S699+S704+S709+S714+SUMIF($G$667:$G$717,"",$I$667:$I$717)</f>
        <v>0</v>
      </c>
    </row>
    <row r="720" spans="1:19" ht="13.5" customHeight="1"/>
    <row r="721" spans="1:19" ht="15.95" customHeight="1">
      <c r="A721" s="57" t="str">
        <f>$A$1</f>
        <v>Einnahmen und Ausgaben nach Kategorien</v>
      </c>
      <c r="B721" s="33"/>
      <c r="C721" s="58"/>
      <c r="D721" s="58"/>
      <c r="E721" s="58"/>
      <c r="F721" s="58"/>
      <c r="G721" s="34"/>
      <c r="H721" s="58"/>
      <c r="I721" s="59" t="str">
        <f>"Jahr "&amp;$A$2</f>
        <v xml:space="preserve">Jahr </v>
      </c>
      <c r="L721" s="33" t="str">
        <f>CONCATENATE("Kategoriengruppen Jahr ",$A$2)</f>
        <v xml:space="preserve">Kategoriengruppen Jahr </v>
      </c>
      <c r="Q721" s="33" t="str">
        <f>CONCATENATE("Kategoriengruppen Jahr ",$A$2)</f>
        <v xml:space="preserve">Kategoriengruppen Jahr </v>
      </c>
    </row>
    <row r="722" spans="1:19" ht="13.5" customHeight="1"/>
    <row r="723" spans="1:19" ht="13.5" customHeight="1"/>
    <row r="724" spans="1:19" ht="13.5" customHeight="1">
      <c r="A724" s="60" t="s">
        <v>40</v>
      </c>
      <c r="B724" s="39"/>
      <c r="C724" s="60"/>
      <c r="D724" s="60"/>
      <c r="F724" s="60" t="s">
        <v>41</v>
      </c>
      <c r="G724" s="39"/>
      <c r="H724" s="60"/>
      <c r="I724" s="60"/>
      <c r="L724" s="39" t="s">
        <v>84</v>
      </c>
      <c r="M724" s="103" t="s">
        <v>106</v>
      </c>
      <c r="N724" s="39" t="s">
        <v>85</v>
      </c>
      <c r="Q724" s="39" t="s">
        <v>84</v>
      </c>
      <c r="R724" s="103" t="s">
        <v>106</v>
      </c>
      <c r="S724" s="39" t="s">
        <v>85</v>
      </c>
    </row>
    <row r="725" spans="1:19" ht="13.5" customHeight="1" thickBot="1"/>
    <row r="726" spans="1:19" ht="13.5" customHeight="1" thickTop="1" thickBot="1">
      <c r="A726" s="61" t="s">
        <v>24</v>
      </c>
      <c r="B726" s="90" t="s">
        <v>82</v>
      </c>
      <c r="C726" s="62" t="s">
        <v>25</v>
      </c>
      <c r="D726" s="63" t="str">
        <f>$D$6</f>
        <v>CHF</v>
      </c>
      <c r="F726" s="61" t="s">
        <v>24</v>
      </c>
      <c r="G726" s="90" t="s">
        <v>82</v>
      </c>
      <c r="H726" s="62" t="s">
        <v>25</v>
      </c>
      <c r="I726" s="63" t="str">
        <f>$D$6</f>
        <v>CHF</v>
      </c>
    </row>
    <row r="727" spans="1:19" ht="13.5" customHeight="1" thickTop="1">
      <c r="A727" s="64">
        <f>$A$7</f>
        <v>100</v>
      </c>
      <c r="B727" s="153" t="str">
        <f>IF(B$7="","",B$7)</f>
        <v>A</v>
      </c>
      <c r="C727" s="65" t="str">
        <f>IF($C$7="","",$C$7)</f>
        <v>Ladenverkauf</v>
      </c>
      <c r="D727" s="66">
        <f ca="1">IF(C727="","",E727)</f>
        <v>0</v>
      </c>
      <c r="E727" s="73">
        <f t="shared" ref="E727:E742" ca="1" si="24">D7+D67+D127+D187+D247+D307+D367+D427+D487+D547+D607+D667</f>
        <v>0</v>
      </c>
      <c r="F727" s="64">
        <f>$F$7</f>
        <v>200</v>
      </c>
      <c r="G727" s="153" t="str">
        <f>IF(G$7="","",G$7)</f>
        <v>A</v>
      </c>
      <c r="H727" s="65" t="str">
        <f>IF($H$7="","",$H$7)</f>
        <v>Maschinen und Geräte</v>
      </c>
      <c r="I727" s="66">
        <f ca="1">IF(H727="","",J727)</f>
        <v>0</v>
      </c>
      <c r="J727" s="73">
        <f t="shared" ref="J727:J742" ca="1" si="25">I7+I67+I127+I187+I247+I307+I367+I427+I487+I547+I607+I667</f>
        <v>0</v>
      </c>
      <c r="L727" s="95" t="s">
        <v>83</v>
      </c>
      <c r="N727" s="95" t="s">
        <v>104</v>
      </c>
      <c r="Q727" s="95" t="s">
        <v>83</v>
      </c>
      <c r="S727" s="95" t="s">
        <v>104</v>
      </c>
    </row>
    <row r="728" spans="1:19" ht="13.5" customHeight="1">
      <c r="A728" s="64">
        <f>$A$8</f>
        <v>101</v>
      </c>
      <c r="B728" s="153" t="str">
        <f>IF(B$8="","",B$8)</f>
        <v>A</v>
      </c>
      <c r="C728" s="65" t="str">
        <f>IF($C$8="","",$C$8)</f>
        <v>Verkauf über Internet</v>
      </c>
      <c r="D728" s="66">
        <f t="shared" ref="D728:D743" ca="1" si="26">IF(C728="","",E728)</f>
        <v>0</v>
      </c>
      <c r="E728" s="73">
        <f t="shared" ca="1" si="24"/>
        <v>0</v>
      </c>
      <c r="F728" s="64">
        <f>$F$8</f>
        <v>201</v>
      </c>
      <c r="G728" s="153" t="str">
        <f>IF(G$8="","",G$8)</f>
        <v>A</v>
      </c>
      <c r="H728" s="65" t="str">
        <f>IF($H$8="","",$H$8)</f>
        <v>Ladenmiete</v>
      </c>
      <c r="I728" s="66">
        <f t="shared" ref="I728:I743" ca="1" si="27">IF(H728="","",J728)</f>
        <v>0</v>
      </c>
      <c r="J728" s="73">
        <f t="shared" ca="1" si="25"/>
        <v>0</v>
      </c>
      <c r="L728" s="112" t="str">
        <f>IF(L$8="","",L$8)</f>
        <v>Landwirtschaft</v>
      </c>
      <c r="N728" s="112" t="str">
        <f>IF(N$8="","",N$8)</f>
        <v>Landwirtschaft</v>
      </c>
      <c r="Q728" s="112" t="str">
        <f>IF(Q$8="","",Q$8)</f>
        <v/>
      </c>
      <c r="S728" s="112" t="str">
        <f>IF(S$8="","",S$8)</f>
        <v/>
      </c>
    </row>
    <row r="729" spans="1:19" ht="13.5" customHeight="1" thickBot="1">
      <c r="A729" s="64">
        <f>$A$9</f>
        <v>102</v>
      </c>
      <c r="B729" s="93" t="str">
        <f>IF(B$9="","",B$9)</f>
        <v/>
      </c>
      <c r="C729" s="65" t="str">
        <f>IF($C$9="","",$C$9)</f>
        <v/>
      </c>
      <c r="D729" s="66" t="str">
        <f t="shared" si="26"/>
        <v/>
      </c>
      <c r="E729" s="73" t="e">
        <f t="shared" ca="1" si="24"/>
        <v>#VALUE!</v>
      </c>
      <c r="F729" s="64">
        <f>$F$9</f>
        <v>202</v>
      </c>
      <c r="G729" s="153" t="str">
        <f>IF(G$9="","",G$9)</f>
        <v>A</v>
      </c>
      <c r="H729" s="65" t="str">
        <f>IF($H$9="","",$H$9)</f>
        <v>Werbeausgaben</v>
      </c>
      <c r="I729" s="66">
        <f t="shared" ca="1" si="27"/>
        <v>0</v>
      </c>
      <c r="J729" s="73">
        <f t="shared" ca="1" si="25"/>
        <v>0</v>
      </c>
      <c r="L729" s="105">
        <f ca="1">SUMIF($B$727:$B$777,"A",$D$727:$D$777)</f>
        <v>0</v>
      </c>
      <c r="M729" s="104">
        <f ca="1">L729+N729</f>
        <v>0</v>
      </c>
      <c r="N729" s="106">
        <f ca="1">SUMIF($G$727:$G$777,"A",$I$727:$I$777)</f>
        <v>0</v>
      </c>
      <c r="Q729" s="105">
        <f ca="1">SUMIF($B$727:$B$777,"A",$D$727:$D$777)</f>
        <v>0</v>
      </c>
      <c r="R729" s="104">
        <f ca="1">Q729+S729</f>
        <v>0</v>
      </c>
      <c r="S729" s="106">
        <f ca="1">SUMIF($G$727:$G$777,"A",$I$727:$I$777)</f>
        <v>0</v>
      </c>
    </row>
    <row r="730" spans="1:19" ht="13.5" customHeight="1">
      <c r="A730" s="64">
        <f>$A$10</f>
        <v>103</v>
      </c>
      <c r="B730" s="93" t="str">
        <f>IF(B$10="","",B$10)</f>
        <v/>
      </c>
      <c r="C730" s="65" t="str">
        <f>IF($C$10="","",$C$10)</f>
        <v/>
      </c>
      <c r="D730" s="66" t="str">
        <f t="shared" si="26"/>
        <v/>
      </c>
      <c r="E730" s="73" t="e">
        <f t="shared" ca="1" si="24"/>
        <v>#VALUE!</v>
      </c>
      <c r="F730" s="64">
        <f>$F$10</f>
        <v>203</v>
      </c>
      <c r="G730" s="153" t="str">
        <f>IF(G$10="","",G$10)</f>
        <v>A</v>
      </c>
      <c r="H730" s="65" t="str">
        <f>IF($H$10="","",$H$10)</f>
        <v>Löhne</v>
      </c>
      <c r="I730" s="66">
        <f t="shared" ca="1" si="27"/>
        <v>0</v>
      </c>
      <c r="J730" s="73">
        <f t="shared" ca="1" si="25"/>
        <v>0</v>
      </c>
    </row>
    <row r="731" spans="1:19" ht="13.5" customHeight="1" thickBot="1">
      <c r="A731" s="64">
        <f>$A$11</f>
        <v>104</v>
      </c>
      <c r="B731" s="93" t="str">
        <f>IF(B$11="","",B$11)</f>
        <v/>
      </c>
      <c r="C731" s="65" t="str">
        <f>IF($C$11="","",$C$11)</f>
        <v/>
      </c>
      <c r="D731" s="66" t="str">
        <f t="shared" si="26"/>
        <v/>
      </c>
      <c r="E731" s="73" t="e">
        <f t="shared" ca="1" si="24"/>
        <v>#VALUE!</v>
      </c>
      <c r="F731" s="64">
        <f>$F$11</f>
        <v>204</v>
      </c>
      <c r="G731" s="93" t="str">
        <f>IF(G$11="","",G$11)</f>
        <v/>
      </c>
      <c r="H731" s="65" t="str">
        <f>IF($H$11="","",$H$11)</f>
        <v/>
      </c>
      <c r="I731" s="66" t="str">
        <f t="shared" si="27"/>
        <v/>
      </c>
      <c r="J731" s="73" t="e">
        <f t="shared" ca="1" si="25"/>
        <v>#VALUE!</v>
      </c>
    </row>
    <row r="732" spans="1:19" ht="13.5" customHeight="1">
      <c r="A732" s="64">
        <f>$A$12</f>
        <v>105</v>
      </c>
      <c r="B732" s="93" t="str">
        <f>IF(B$12="","",B$12)</f>
        <v/>
      </c>
      <c r="C732" s="65" t="str">
        <f>IF($C$12="","",$C$12)</f>
        <v/>
      </c>
      <c r="D732" s="66" t="str">
        <f t="shared" si="26"/>
        <v/>
      </c>
      <c r="E732" s="73" t="e">
        <f t="shared" ca="1" si="24"/>
        <v>#VALUE!</v>
      </c>
      <c r="F732" s="64">
        <f>$F$12</f>
        <v>205</v>
      </c>
      <c r="G732" s="93" t="str">
        <f>IF(G$12="","",G$12)</f>
        <v/>
      </c>
      <c r="H732" s="65" t="str">
        <f>IF($H$12="","",$H$12)</f>
        <v/>
      </c>
      <c r="I732" s="66" t="str">
        <f t="shared" si="27"/>
        <v/>
      </c>
      <c r="J732" s="73" t="e">
        <f t="shared" ca="1" si="25"/>
        <v>#VALUE!</v>
      </c>
      <c r="L732" s="96" t="s">
        <v>86</v>
      </c>
      <c r="N732" s="96" t="s">
        <v>95</v>
      </c>
      <c r="Q732" s="96" t="s">
        <v>86</v>
      </c>
      <c r="S732" s="96" t="s">
        <v>95</v>
      </c>
    </row>
    <row r="733" spans="1:19" ht="13.5" customHeight="1">
      <c r="A733" s="64">
        <f>$A$13</f>
        <v>106</v>
      </c>
      <c r="B733" s="93" t="str">
        <f>IF(B$13="","",B$13)</f>
        <v/>
      </c>
      <c r="C733" s="65" t="str">
        <f>IF($C$13="","",$C$13)</f>
        <v/>
      </c>
      <c r="D733" s="66" t="str">
        <f t="shared" si="26"/>
        <v/>
      </c>
      <c r="E733" s="73" t="e">
        <f t="shared" ca="1" si="24"/>
        <v>#VALUE!</v>
      </c>
      <c r="F733" s="64">
        <f>$F$13</f>
        <v>206</v>
      </c>
      <c r="G733" s="93" t="str">
        <f>IF(G$13="","",G$13)</f>
        <v/>
      </c>
      <c r="H733" s="65" t="str">
        <f>IF($H$13="","",$H$13)</f>
        <v/>
      </c>
      <c r="I733" s="66" t="str">
        <f t="shared" si="27"/>
        <v/>
      </c>
      <c r="J733" s="73" t="e">
        <f t="shared" ca="1" si="25"/>
        <v>#VALUE!</v>
      </c>
      <c r="L733" s="112" t="str">
        <f>IF(L$13="","",L$13)</f>
        <v>Privat</v>
      </c>
      <c r="N733" s="112" t="str">
        <f>IF(N$13="","",N$13)</f>
        <v>Privat</v>
      </c>
      <c r="Q733" s="112" t="str">
        <f>IF(Q$13="","",Q$13)</f>
        <v/>
      </c>
      <c r="S733" s="112" t="str">
        <f>IF(S$13="","",S$13)</f>
        <v/>
      </c>
    </row>
    <row r="734" spans="1:19" ht="13.5" customHeight="1" thickBot="1">
      <c r="A734" s="64">
        <f>$A$14</f>
        <v>107</v>
      </c>
      <c r="B734" s="93" t="str">
        <f>IF(B$14="","",B$14)</f>
        <v/>
      </c>
      <c r="C734" s="65" t="str">
        <f>IF($C$14="","",$C$14)</f>
        <v/>
      </c>
      <c r="D734" s="66" t="str">
        <f t="shared" si="26"/>
        <v/>
      </c>
      <c r="E734" s="73" t="e">
        <f t="shared" ca="1" si="24"/>
        <v>#VALUE!</v>
      </c>
      <c r="F734" s="64">
        <f>$F$14</f>
        <v>207</v>
      </c>
      <c r="G734" s="93" t="str">
        <f>IF(G$14="","",G$14)</f>
        <v/>
      </c>
      <c r="H734" s="65" t="str">
        <f>IF($H$14="","",$H$14)</f>
        <v/>
      </c>
      <c r="I734" s="66" t="str">
        <f t="shared" si="27"/>
        <v/>
      </c>
      <c r="J734" s="73" t="e">
        <f t="shared" ca="1" si="25"/>
        <v>#VALUE!</v>
      </c>
      <c r="L734" s="105">
        <f ca="1">SUMIF($B$727:$B$777,"B",$D$727:$D$777)</f>
        <v>1900.75</v>
      </c>
      <c r="M734" s="104">
        <f ca="1">L734+N734</f>
        <v>-509.25</v>
      </c>
      <c r="N734" s="106">
        <f ca="1">SUMIF($G$727:$G$777,"B",$I$727:$I$777)</f>
        <v>-2410</v>
      </c>
      <c r="Q734" s="105">
        <f ca="1">SUMIF($B$727:$B$777,"B",$D$727:$D$777)</f>
        <v>1900.75</v>
      </c>
      <c r="R734" s="104">
        <f ca="1">Q734+S734</f>
        <v>-509.25</v>
      </c>
      <c r="S734" s="106">
        <f ca="1">SUMIF($G$727:$G$777,"B",$I$727:$I$777)</f>
        <v>-2410</v>
      </c>
    </row>
    <row r="735" spans="1:19" ht="13.5" customHeight="1">
      <c r="A735" s="64">
        <f>$A$15</f>
        <v>108</v>
      </c>
      <c r="B735" s="93" t="str">
        <f>IF(B$15="","",B$15)</f>
        <v/>
      </c>
      <c r="C735" s="65" t="str">
        <f>IF($C$15="","",$C$15)</f>
        <v/>
      </c>
      <c r="D735" s="66" t="str">
        <f t="shared" si="26"/>
        <v/>
      </c>
      <c r="E735" s="73" t="e">
        <f t="shared" ca="1" si="24"/>
        <v>#VALUE!</v>
      </c>
      <c r="F735" s="64">
        <f>$F$15</f>
        <v>208</v>
      </c>
      <c r="G735" s="93" t="str">
        <f>IF(G$15="","",G$15)</f>
        <v/>
      </c>
      <c r="H735" s="65" t="str">
        <f>IF($H$15="","",$H$15)</f>
        <v/>
      </c>
      <c r="I735" s="66" t="str">
        <f t="shared" si="27"/>
        <v/>
      </c>
      <c r="J735" s="73" t="e">
        <f t="shared" ca="1" si="25"/>
        <v>#VALUE!</v>
      </c>
    </row>
    <row r="736" spans="1:19" ht="13.5" customHeight="1" thickBot="1">
      <c r="A736" s="64">
        <f>$A$16</f>
        <v>109</v>
      </c>
      <c r="B736" s="93" t="str">
        <f>IF(B$16="","",B$16)</f>
        <v/>
      </c>
      <c r="C736" s="65" t="str">
        <f>IF($C$16="","",$C$16)</f>
        <v/>
      </c>
      <c r="D736" s="66" t="str">
        <f t="shared" si="26"/>
        <v/>
      </c>
      <c r="E736" s="73" t="e">
        <f t="shared" ca="1" si="24"/>
        <v>#VALUE!</v>
      </c>
      <c r="F736" s="64">
        <f>$F$16</f>
        <v>209</v>
      </c>
      <c r="G736" s="93" t="str">
        <f>IF(G$16="","",G$16)</f>
        <v/>
      </c>
      <c r="H736" s="65" t="str">
        <f>IF($H$16="","",$H$16)</f>
        <v/>
      </c>
      <c r="I736" s="66" t="str">
        <f t="shared" si="27"/>
        <v/>
      </c>
      <c r="J736" s="73" t="e">
        <f t="shared" ca="1" si="25"/>
        <v>#VALUE!</v>
      </c>
    </row>
    <row r="737" spans="1:19" ht="13.5" customHeight="1">
      <c r="A737" s="64">
        <f>$A$17</f>
        <v>110</v>
      </c>
      <c r="B737" s="93" t="str">
        <f>IF(B$17="","",B$17)</f>
        <v/>
      </c>
      <c r="C737" s="65" t="str">
        <f>IF($C$17="","",$C$17)</f>
        <v/>
      </c>
      <c r="D737" s="66" t="str">
        <f t="shared" si="26"/>
        <v/>
      </c>
      <c r="E737" s="73" t="e">
        <f t="shared" ca="1" si="24"/>
        <v>#VALUE!</v>
      </c>
      <c r="F737" s="64">
        <f>$F$17</f>
        <v>210</v>
      </c>
      <c r="G737" s="93" t="str">
        <f>IF(G$17="","",G$17)</f>
        <v/>
      </c>
      <c r="H737" s="65" t="str">
        <f>IF($H$17="","",$H$17)</f>
        <v/>
      </c>
      <c r="I737" s="66" t="str">
        <f t="shared" si="27"/>
        <v/>
      </c>
      <c r="J737" s="73" t="e">
        <f t="shared" ca="1" si="25"/>
        <v>#VALUE!</v>
      </c>
      <c r="Q737" s="109" t="s">
        <v>87</v>
      </c>
      <c r="S737" s="109" t="s">
        <v>96</v>
      </c>
    </row>
    <row r="738" spans="1:19" ht="13.5" customHeight="1">
      <c r="A738" s="64">
        <f>$A$18</f>
        <v>111</v>
      </c>
      <c r="B738" s="93" t="str">
        <f>IF(B$18="","",B$18)</f>
        <v/>
      </c>
      <c r="C738" s="65" t="str">
        <f>IF($C$18="","",$C$18)</f>
        <v/>
      </c>
      <c r="D738" s="66" t="str">
        <f t="shared" si="26"/>
        <v/>
      </c>
      <c r="E738" s="73" t="e">
        <f t="shared" ca="1" si="24"/>
        <v>#VALUE!</v>
      </c>
      <c r="F738" s="64">
        <f>$F$18</f>
        <v>211</v>
      </c>
      <c r="G738" s="93" t="str">
        <f>IF(G$18="","",G$18)</f>
        <v/>
      </c>
      <c r="H738" s="65" t="str">
        <f>IF($H$18="","",$H$18)</f>
        <v/>
      </c>
      <c r="I738" s="66" t="str">
        <f t="shared" si="27"/>
        <v/>
      </c>
      <c r="J738" s="73" t="e">
        <f t="shared" ca="1" si="25"/>
        <v>#VALUE!</v>
      </c>
      <c r="Q738" s="112" t="str">
        <f>IF(Q$18="","",Q$18)</f>
        <v/>
      </c>
      <c r="S738" s="112" t="str">
        <f>IF(S$18="","",S$18)</f>
        <v/>
      </c>
    </row>
    <row r="739" spans="1:19" ht="13.5" customHeight="1" thickBot="1">
      <c r="A739" s="64">
        <f>$A$19</f>
        <v>112</v>
      </c>
      <c r="B739" s="93" t="str">
        <f>IF(B$19="","",B$19)</f>
        <v/>
      </c>
      <c r="C739" s="65" t="str">
        <f>IF($C$19="","",$C$19)</f>
        <v/>
      </c>
      <c r="D739" s="66" t="str">
        <f t="shared" si="26"/>
        <v/>
      </c>
      <c r="E739" s="73" t="e">
        <f t="shared" ca="1" si="24"/>
        <v>#VALUE!</v>
      </c>
      <c r="F739" s="64">
        <f>$F$19</f>
        <v>212</v>
      </c>
      <c r="G739" s="93" t="str">
        <f>IF(G$19="","",G$19)</f>
        <v/>
      </c>
      <c r="H739" s="65" t="str">
        <f>IF($H$19="","",$H$19)</f>
        <v/>
      </c>
      <c r="I739" s="66" t="str">
        <f t="shared" si="27"/>
        <v/>
      </c>
      <c r="J739" s="73" t="e">
        <f t="shared" ca="1" si="25"/>
        <v>#VALUE!</v>
      </c>
      <c r="Q739" s="105">
        <f>SUMIF($B$727:$B$777,"C",$D$727:$D$777)</f>
        <v>0</v>
      </c>
      <c r="R739" s="104">
        <f>Q739+S739</f>
        <v>0</v>
      </c>
      <c r="S739" s="106">
        <f>SUMIF($G$727:$G$777,"C",$I$727:$I$777)</f>
        <v>0</v>
      </c>
    </row>
    <row r="740" spans="1:19" ht="13.5" customHeight="1">
      <c r="A740" s="64">
        <f>$A$20</f>
        <v>113</v>
      </c>
      <c r="B740" s="93" t="str">
        <f>IF(B$20="","",B$20)</f>
        <v/>
      </c>
      <c r="C740" s="65" t="str">
        <f>IF($C$20="","",$C$20)</f>
        <v/>
      </c>
      <c r="D740" s="66" t="str">
        <f t="shared" si="26"/>
        <v/>
      </c>
      <c r="E740" s="73" t="e">
        <f t="shared" ca="1" si="24"/>
        <v>#VALUE!</v>
      </c>
      <c r="F740" s="64">
        <f>$F$20</f>
        <v>213</v>
      </c>
      <c r="G740" s="93" t="str">
        <f>IF(G$20="","",G$20)</f>
        <v/>
      </c>
      <c r="H740" s="65" t="str">
        <f>IF($H$20="","",$H$20)</f>
        <v/>
      </c>
      <c r="I740" s="66" t="str">
        <f t="shared" si="27"/>
        <v/>
      </c>
      <c r="J740" s="73" t="e">
        <f t="shared" ca="1" si="25"/>
        <v>#VALUE!</v>
      </c>
    </row>
    <row r="741" spans="1:19" ht="13.5" customHeight="1" thickBot="1">
      <c r="A741" s="64">
        <f>$A$21</f>
        <v>114</v>
      </c>
      <c r="B741" s="93" t="str">
        <f>IF(B$21="","",B$21)</f>
        <v/>
      </c>
      <c r="C741" s="65" t="str">
        <f>IF($C$21="","",$C$21)</f>
        <v/>
      </c>
      <c r="D741" s="66" t="str">
        <f t="shared" si="26"/>
        <v/>
      </c>
      <c r="E741" s="73" t="e">
        <f t="shared" ca="1" si="24"/>
        <v>#VALUE!</v>
      </c>
      <c r="F741" s="64">
        <f>$F$21</f>
        <v>214</v>
      </c>
      <c r="G741" s="93" t="str">
        <f>IF(G$21="","",G$21)</f>
        <v/>
      </c>
      <c r="H741" s="65" t="str">
        <f>IF($H$21="","",$H$21)</f>
        <v/>
      </c>
      <c r="I741" s="66" t="str">
        <f t="shared" si="27"/>
        <v/>
      </c>
      <c r="J741" s="73" t="e">
        <f t="shared" ca="1" si="25"/>
        <v>#VALUE!</v>
      </c>
    </row>
    <row r="742" spans="1:19" ht="13.5" customHeight="1">
      <c r="A742" s="64">
        <f>$A$22</f>
        <v>115</v>
      </c>
      <c r="B742" s="93" t="str">
        <f>IF(B$22="","",B$22)</f>
        <v/>
      </c>
      <c r="C742" s="65" t="str">
        <f>IF($C$22="","",$C$22)</f>
        <v/>
      </c>
      <c r="D742" s="66" t="str">
        <f t="shared" si="26"/>
        <v/>
      </c>
      <c r="E742" s="73" t="e">
        <f t="shared" ca="1" si="24"/>
        <v>#VALUE!</v>
      </c>
      <c r="F742" s="64">
        <f>$F$22</f>
        <v>215</v>
      </c>
      <c r="G742" s="93" t="str">
        <f>IF(G$22="","",G$22)</f>
        <v/>
      </c>
      <c r="H742" s="65" t="str">
        <f>IF($H$22="","",$H$22)</f>
        <v/>
      </c>
      <c r="I742" s="66" t="str">
        <f t="shared" si="27"/>
        <v/>
      </c>
      <c r="J742" s="73" t="e">
        <f t="shared" ca="1" si="25"/>
        <v>#VALUE!</v>
      </c>
      <c r="Q742" s="97" t="s">
        <v>88</v>
      </c>
      <c r="S742" s="97" t="s">
        <v>97</v>
      </c>
    </row>
    <row r="743" spans="1:19" ht="13.5" customHeight="1">
      <c r="A743" s="64">
        <f>$A$23</f>
        <v>116</v>
      </c>
      <c r="B743" s="93" t="str">
        <f>IF(B$23="","",B$23)</f>
        <v/>
      </c>
      <c r="C743" s="65" t="str">
        <f>IF($C$23="","",$C$23)</f>
        <v/>
      </c>
      <c r="D743" s="66" t="str">
        <f t="shared" si="26"/>
        <v/>
      </c>
      <c r="E743" s="73" t="e">
        <f t="shared" ref="E743:E758" ca="1" si="28">D23+D83+D143+D203+D263+D323+D383+D443+D503+D563+D623+D683</f>
        <v>#VALUE!</v>
      </c>
      <c r="F743" s="64">
        <f>$F$23</f>
        <v>216</v>
      </c>
      <c r="G743" s="93" t="str">
        <f>IF(G$23="","",G$23)</f>
        <v/>
      </c>
      <c r="H743" s="65" t="str">
        <f>IF($H$23="","",$H$23)</f>
        <v/>
      </c>
      <c r="I743" s="66" t="str">
        <f t="shared" si="27"/>
        <v/>
      </c>
      <c r="J743" s="73" t="e">
        <f t="shared" ref="J743:J758" ca="1" si="29">I23+I83+I143+I203+I263+I323+I383+I443+I503+I563+I623+I683</f>
        <v>#VALUE!</v>
      </c>
      <c r="Q743" s="112" t="str">
        <f>IF(Q$23="","",Q$23)</f>
        <v/>
      </c>
      <c r="S743" s="112" t="str">
        <f>IF(S$23="","",S$23)</f>
        <v/>
      </c>
    </row>
    <row r="744" spans="1:19" ht="13.5" customHeight="1" thickBot="1">
      <c r="A744" s="64">
        <f>$A$24</f>
        <v>117</v>
      </c>
      <c r="B744" s="93" t="str">
        <f>IF(B$24="","",B$24)</f>
        <v/>
      </c>
      <c r="C744" s="65" t="str">
        <f>IF($C$24="","",$C$24)</f>
        <v/>
      </c>
      <c r="D744" s="66" t="str">
        <f t="shared" ref="D744:D759" si="30">IF(C744="","",E744)</f>
        <v/>
      </c>
      <c r="E744" s="73" t="e">
        <f t="shared" ca="1" si="28"/>
        <v>#VALUE!</v>
      </c>
      <c r="F744" s="64">
        <f>$F$24</f>
        <v>217</v>
      </c>
      <c r="G744" s="93" t="str">
        <f>IF(G$24="","",G$24)</f>
        <v/>
      </c>
      <c r="H744" s="65" t="str">
        <f>IF($H$24="","",$H$24)</f>
        <v/>
      </c>
      <c r="I744" s="66" t="str">
        <f t="shared" ref="I744:I759" si="31">IF(H744="","",J744)</f>
        <v/>
      </c>
      <c r="J744" s="73" t="e">
        <f t="shared" ca="1" si="29"/>
        <v>#VALUE!</v>
      </c>
      <c r="Q744" s="105">
        <f>SUMIF($B$727:$B$777,"D",$D$727:$D$777)</f>
        <v>0</v>
      </c>
      <c r="R744" s="104">
        <f>Q744+S744</f>
        <v>0</v>
      </c>
      <c r="S744" s="106">
        <f>SUMIF($G$727:$G$777,"D",$I$727:$I$777)</f>
        <v>0</v>
      </c>
    </row>
    <row r="745" spans="1:19" ht="13.5" customHeight="1">
      <c r="A745" s="64">
        <f>$A$25</f>
        <v>118</v>
      </c>
      <c r="B745" s="93" t="str">
        <f>IF(B$25="","",B$25)</f>
        <v/>
      </c>
      <c r="C745" s="65" t="str">
        <f>IF($C$25="","",$C$25)</f>
        <v/>
      </c>
      <c r="D745" s="66" t="str">
        <f t="shared" si="30"/>
        <v/>
      </c>
      <c r="E745" s="73" t="e">
        <f t="shared" ca="1" si="28"/>
        <v>#VALUE!</v>
      </c>
      <c r="F745" s="64">
        <f>$F$25</f>
        <v>218</v>
      </c>
      <c r="G745" s="93" t="str">
        <f>IF(G$25="","",G$25)</f>
        <v/>
      </c>
      <c r="H745" s="65" t="str">
        <f>IF($H$25="","",$H$25)</f>
        <v/>
      </c>
      <c r="I745" s="66" t="str">
        <f t="shared" si="31"/>
        <v/>
      </c>
      <c r="J745" s="73" t="e">
        <f t="shared" ca="1" si="29"/>
        <v>#VALUE!</v>
      </c>
    </row>
    <row r="746" spans="1:19" ht="13.5" customHeight="1" thickBot="1">
      <c r="A746" s="64">
        <f>$A$26</f>
        <v>119</v>
      </c>
      <c r="B746" s="93" t="str">
        <f>IF(B$26="","",B$26)</f>
        <v/>
      </c>
      <c r="C746" s="65" t="str">
        <f>IF($C$26="","",$C$26)</f>
        <v/>
      </c>
      <c r="D746" s="66" t="str">
        <f t="shared" si="30"/>
        <v/>
      </c>
      <c r="E746" s="73" t="e">
        <f t="shared" ca="1" si="28"/>
        <v>#VALUE!</v>
      </c>
      <c r="F746" s="64">
        <f>$F$26</f>
        <v>219</v>
      </c>
      <c r="G746" s="93" t="str">
        <f>IF(G$26="","",G$26)</f>
        <v/>
      </c>
      <c r="H746" s="65" t="str">
        <f>IF($H$26="","",$H$26)</f>
        <v/>
      </c>
      <c r="I746" s="66" t="str">
        <f t="shared" si="31"/>
        <v/>
      </c>
      <c r="J746" s="73" t="e">
        <f t="shared" ca="1" si="29"/>
        <v>#VALUE!</v>
      </c>
    </row>
    <row r="747" spans="1:19" ht="13.5" customHeight="1">
      <c r="A747" s="64">
        <f>$A$27</f>
        <v>120</v>
      </c>
      <c r="B747" s="93" t="str">
        <f>IF(B$27="","",B$27)</f>
        <v/>
      </c>
      <c r="C747" s="65" t="str">
        <f>IF($C$27="","",$C$27)</f>
        <v/>
      </c>
      <c r="D747" s="66" t="str">
        <f t="shared" si="30"/>
        <v/>
      </c>
      <c r="E747" s="73" t="e">
        <f t="shared" ca="1" si="28"/>
        <v>#VALUE!</v>
      </c>
      <c r="F747" s="64">
        <f>$F$27</f>
        <v>220</v>
      </c>
      <c r="G747" s="93" t="str">
        <f>IF(G$27="","",G$27)</f>
        <v/>
      </c>
      <c r="H747" s="65" t="str">
        <f>IF($H$27="","",$H$27)</f>
        <v/>
      </c>
      <c r="I747" s="66" t="str">
        <f t="shared" si="31"/>
        <v/>
      </c>
      <c r="J747" s="73" t="e">
        <f t="shared" ca="1" si="29"/>
        <v>#VALUE!</v>
      </c>
      <c r="Q747" s="110" t="s">
        <v>89</v>
      </c>
      <c r="S747" s="110" t="s">
        <v>98</v>
      </c>
    </row>
    <row r="748" spans="1:19" ht="13.5" customHeight="1">
      <c r="A748" s="64">
        <f>$A$28</f>
        <v>121</v>
      </c>
      <c r="B748" s="93" t="str">
        <f>IF(B$28="","",B$28)</f>
        <v/>
      </c>
      <c r="C748" s="65" t="str">
        <f>IF($C$28="","",$C$28)</f>
        <v/>
      </c>
      <c r="D748" s="66" t="str">
        <f t="shared" si="30"/>
        <v/>
      </c>
      <c r="E748" s="73" t="e">
        <f t="shared" ca="1" si="28"/>
        <v>#VALUE!</v>
      </c>
      <c r="F748" s="64">
        <f>$F$28</f>
        <v>221</v>
      </c>
      <c r="G748" s="93" t="str">
        <f>IF(G$28="","",G$28)</f>
        <v/>
      </c>
      <c r="H748" s="65" t="str">
        <f>IF($H$28="","",$H$28)</f>
        <v/>
      </c>
      <c r="I748" s="66" t="str">
        <f t="shared" si="31"/>
        <v/>
      </c>
      <c r="J748" s="73" t="e">
        <f t="shared" ca="1" si="29"/>
        <v>#VALUE!</v>
      </c>
      <c r="Q748" s="112" t="str">
        <f>IF(Q$28="","",Q$28)</f>
        <v/>
      </c>
      <c r="S748" s="112" t="str">
        <f>IF(S$28="","",S$28)</f>
        <v/>
      </c>
    </row>
    <row r="749" spans="1:19" ht="13.5" customHeight="1" thickBot="1">
      <c r="A749" s="64">
        <f>$A$29</f>
        <v>122</v>
      </c>
      <c r="B749" s="93" t="str">
        <f>IF(B$29="","",B$29)</f>
        <v/>
      </c>
      <c r="C749" s="65" t="str">
        <f>IF($C$29="","",$C$29)</f>
        <v/>
      </c>
      <c r="D749" s="66" t="str">
        <f t="shared" si="30"/>
        <v/>
      </c>
      <c r="E749" s="73" t="e">
        <f t="shared" ca="1" si="28"/>
        <v>#VALUE!</v>
      </c>
      <c r="F749" s="64">
        <f>$F$29</f>
        <v>222</v>
      </c>
      <c r="G749" s="93" t="str">
        <f>IF(G$29="","",G$29)</f>
        <v/>
      </c>
      <c r="H749" s="65" t="str">
        <f>IF($H$29="","",$H$29)</f>
        <v/>
      </c>
      <c r="I749" s="66" t="str">
        <f t="shared" si="31"/>
        <v/>
      </c>
      <c r="J749" s="73" t="e">
        <f t="shared" ca="1" si="29"/>
        <v>#VALUE!</v>
      </c>
      <c r="Q749" s="105">
        <f>SUMIF($B$727:$B$777,"E",$D$727:$D$777)</f>
        <v>0</v>
      </c>
      <c r="R749" s="104">
        <f>Q749+S749</f>
        <v>0</v>
      </c>
      <c r="S749" s="106">
        <f>SUMIF($G$727:$G$777,"E",$I$727:$I$777)</f>
        <v>0</v>
      </c>
    </row>
    <row r="750" spans="1:19" ht="13.5" customHeight="1">
      <c r="A750" s="64">
        <f>$A$30</f>
        <v>123</v>
      </c>
      <c r="B750" s="93" t="str">
        <f>IF(B$30="","",B$30)</f>
        <v/>
      </c>
      <c r="C750" s="65" t="str">
        <f>IF($C$30="","",$C$30)</f>
        <v/>
      </c>
      <c r="D750" s="66" t="str">
        <f t="shared" si="30"/>
        <v/>
      </c>
      <c r="E750" s="73" t="e">
        <f t="shared" ca="1" si="28"/>
        <v>#VALUE!</v>
      </c>
      <c r="F750" s="64">
        <f>$F$30</f>
        <v>223</v>
      </c>
      <c r="G750" s="93" t="str">
        <f>IF(G$30="","",G$30)</f>
        <v/>
      </c>
      <c r="H750" s="65" t="str">
        <f>IF($H$30="","",$H$30)</f>
        <v/>
      </c>
      <c r="I750" s="66" t="str">
        <f t="shared" si="31"/>
        <v/>
      </c>
      <c r="J750" s="73" t="e">
        <f t="shared" ca="1" si="29"/>
        <v>#VALUE!</v>
      </c>
    </row>
    <row r="751" spans="1:19" ht="13.5" customHeight="1" thickBot="1">
      <c r="A751" s="64">
        <f>$A$31</f>
        <v>124</v>
      </c>
      <c r="B751" s="93" t="str">
        <f>IF(B$31="","",B$31)</f>
        <v/>
      </c>
      <c r="C751" s="65" t="str">
        <f>IF($C$31="","",$C$31)</f>
        <v/>
      </c>
      <c r="D751" s="66" t="str">
        <f t="shared" si="30"/>
        <v/>
      </c>
      <c r="E751" s="73" t="e">
        <f t="shared" ca="1" si="28"/>
        <v>#VALUE!</v>
      </c>
      <c r="F751" s="64">
        <f>$F$31</f>
        <v>224</v>
      </c>
      <c r="G751" s="93" t="str">
        <f>IF(G$31="","",G$31)</f>
        <v/>
      </c>
      <c r="H751" s="65" t="str">
        <f>IF($H$31="","",$H$31)</f>
        <v/>
      </c>
      <c r="I751" s="66" t="str">
        <f t="shared" si="31"/>
        <v/>
      </c>
      <c r="J751" s="73" t="e">
        <f t="shared" ca="1" si="29"/>
        <v>#VALUE!</v>
      </c>
    </row>
    <row r="752" spans="1:19" ht="13.5" customHeight="1">
      <c r="A752" s="64">
        <f>$A$32</f>
        <v>125</v>
      </c>
      <c r="B752" s="154" t="str">
        <f>IF(B$32="","",B$32)</f>
        <v>B</v>
      </c>
      <c r="C752" s="65" t="str">
        <f>IF($C$32="","",$C$32)</f>
        <v>Lohn Nebenerwerb</v>
      </c>
      <c r="D752" s="66">
        <f t="shared" ca="1" si="30"/>
        <v>1780</v>
      </c>
      <c r="E752" s="73">
        <f t="shared" ca="1" si="28"/>
        <v>1780</v>
      </c>
      <c r="F752" s="64">
        <f>$F$32</f>
        <v>225</v>
      </c>
      <c r="G752" s="154" t="str">
        <f>IF(G$32="","",G$32)</f>
        <v>B</v>
      </c>
      <c r="H752" s="65" t="str">
        <f>IF($H$32="","",$H$32)</f>
        <v>Nahrung, Kleider, Körperpflege</v>
      </c>
      <c r="I752" s="66">
        <f t="shared" ca="1" si="31"/>
        <v>0</v>
      </c>
      <c r="J752" s="73">
        <f t="shared" ca="1" si="29"/>
        <v>0</v>
      </c>
      <c r="Q752" s="98" t="s">
        <v>90</v>
      </c>
      <c r="S752" s="98" t="s">
        <v>99</v>
      </c>
    </row>
    <row r="753" spans="1:19" ht="13.5" customHeight="1">
      <c r="A753" s="64">
        <f>$A$33</f>
        <v>126</v>
      </c>
      <c r="B753" s="93" t="str">
        <f>IF(B$33="","",B$33)</f>
        <v/>
      </c>
      <c r="C753" s="65" t="str">
        <f>IF($C$33="","",$C$33)</f>
        <v/>
      </c>
      <c r="D753" s="66" t="str">
        <f t="shared" si="30"/>
        <v/>
      </c>
      <c r="E753" s="73" t="e">
        <f t="shared" ca="1" si="28"/>
        <v>#VALUE!</v>
      </c>
      <c r="F753" s="64">
        <f>$F$33</f>
        <v>226</v>
      </c>
      <c r="G753" s="154" t="str">
        <f>IF(G$33="","",G$33)</f>
        <v>B</v>
      </c>
      <c r="H753" s="65" t="str">
        <f>IF($H$33="","",$H$33)</f>
        <v>Autokosten</v>
      </c>
      <c r="I753" s="66">
        <f t="shared" ca="1" si="31"/>
        <v>0</v>
      </c>
      <c r="J753" s="73">
        <f t="shared" ca="1" si="29"/>
        <v>0</v>
      </c>
      <c r="Q753" s="112" t="str">
        <f>IF(Q$33="","",Q$33)</f>
        <v/>
      </c>
      <c r="S753" s="112" t="str">
        <f>IF(S$33="","",S$33)</f>
        <v/>
      </c>
    </row>
    <row r="754" spans="1:19" ht="13.5" customHeight="1" thickBot="1">
      <c r="A754" s="64">
        <f>$A$34</f>
        <v>127</v>
      </c>
      <c r="B754" s="93" t="str">
        <f>IF(B$34="","",B$34)</f>
        <v/>
      </c>
      <c r="C754" s="65" t="str">
        <f>IF($C$34="","",$C$34)</f>
        <v/>
      </c>
      <c r="D754" s="66" t="str">
        <f t="shared" si="30"/>
        <v/>
      </c>
      <c r="E754" s="73" t="e">
        <f t="shared" ca="1" si="28"/>
        <v>#VALUE!</v>
      </c>
      <c r="F754" s="64">
        <f>$F$34</f>
        <v>227</v>
      </c>
      <c r="G754" s="154" t="str">
        <f>IF(G$34="","",G$34)</f>
        <v>B</v>
      </c>
      <c r="H754" s="65" t="str">
        <f>IF($H$34="","",$H$34)</f>
        <v>Gesundheit, Krankenkasse, Zahnarzt</v>
      </c>
      <c r="I754" s="66">
        <f t="shared" ca="1" si="31"/>
        <v>0</v>
      </c>
      <c r="J754" s="73">
        <f t="shared" ca="1" si="29"/>
        <v>0</v>
      </c>
      <c r="Q754" s="105">
        <f>SUMIF($B$727:$B$777,"F",$D$727:$D$777)</f>
        <v>0</v>
      </c>
      <c r="R754" s="104">
        <f>Q754+S754</f>
        <v>0</v>
      </c>
      <c r="S754" s="106">
        <f>SUMIF($G$727:$G$777,"F",$I$727:$I$777)</f>
        <v>0</v>
      </c>
    </row>
    <row r="755" spans="1:19" ht="13.5" customHeight="1">
      <c r="A755" s="64">
        <f>$A$35</f>
        <v>128</v>
      </c>
      <c r="B755" s="93" t="str">
        <f>IF(B$35="","",B$35)</f>
        <v/>
      </c>
      <c r="C755" s="65" t="str">
        <f>IF($C$35="","",$C$35)</f>
        <v/>
      </c>
      <c r="D755" s="66" t="str">
        <f t="shared" si="30"/>
        <v/>
      </c>
      <c r="E755" s="73" t="e">
        <f t="shared" ca="1" si="28"/>
        <v>#VALUE!</v>
      </c>
      <c r="F755" s="64">
        <f>$F$35</f>
        <v>228</v>
      </c>
      <c r="G755" s="154" t="str">
        <f>IF(G$35="","",G$35)</f>
        <v>B</v>
      </c>
      <c r="H755" s="65" t="str">
        <f>IF($H$35="","",$H$35)</f>
        <v>Versicherungen allgemein</v>
      </c>
      <c r="I755" s="66">
        <f t="shared" ca="1" si="31"/>
        <v>0</v>
      </c>
      <c r="J755" s="73">
        <f t="shared" ca="1" si="29"/>
        <v>0</v>
      </c>
    </row>
    <row r="756" spans="1:19" ht="13.5" customHeight="1" thickBot="1">
      <c r="A756" s="64">
        <f>$A$36</f>
        <v>129</v>
      </c>
      <c r="B756" s="93" t="str">
        <f>IF(B$36="","",B$36)</f>
        <v/>
      </c>
      <c r="C756" s="65" t="str">
        <f>IF($C$36="","",$C$36)</f>
        <v/>
      </c>
      <c r="D756" s="66" t="str">
        <f t="shared" si="30"/>
        <v/>
      </c>
      <c r="E756" s="73" t="e">
        <f t="shared" ca="1" si="28"/>
        <v>#VALUE!</v>
      </c>
      <c r="F756" s="64">
        <f>$F$36</f>
        <v>229</v>
      </c>
      <c r="G756" s="154" t="str">
        <f>IF(G$36="","",G$36)</f>
        <v>B</v>
      </c>
      <c r="H756" s="65" t="str">
        <f>IF($H$36="","",$H$36)</f>
        <v>Büro, Computer, Fotos</v>
      </c>
      <c r="I756" s="66">
        <f t="shared" ca="1" si="31"/>
        <v>0</v>
      </c>
      <c r="J756" s="73">
        <f t="shared" ca="1" si="29"/>
        <v>0</v>
      </c>
    </row>
    <row r="757" spans="1:19" ht="13.5" customHeight="1">
      <c r="A757" s="64">
        <f>$A$37</f>
        <v>130</v>
      </c>
      <c r="B757" s="93" t="str">
        <f>IF(B$37="","",B$37)</f>
        <v/>
      </c>
      <c r="C757" s="65" t="str">
        <f>IF($C$37="","",$C$37)</f>
        <v/>
      </c>
      <c r="D757" s="66" t="str">
        <f t="shared" si="30"/>
        <v/>
      </c>
      <c r="E757" s="73" t="e">
        <f t="shared" ca="1" si="28"/>
        <v>#VALUE!</v>
      </c>
      <c r="F757" s="64">
        <f>$F$37</f>
        <v>230</v>
      </c>
      <c r="G757" s="154" t="str">
        <f>IF(G$37="","",G$37)</f>
        <v>B</v>
      </c>
      <c r="H757" s="65" t="str">
        <f>IF($H$37="","",$H$37)</f>
        <v>Ferien, Ausflüge</v>
      </c>
      <c r="I757" s="66">
        <f t="shared" ca="1" si="31"/>
        <v>-910</v>
      </c>
      <c r="J757" s="73">
        <f t="shared" ca="1" si="29"/>
        <v>-910</v>
      </c>
      <c r="Q757" s="99" t="s">
        <v>91</v>
      </c>
      <c r="S757" s="99" t="s">
        <v>100</v>
      </c>
    </row>
    <row r="758" spans="1:19" ht="13.5" customHeight="1">
      <c r="A758" s="64">
        <f>$A$38</f>
        <v>131</v>
      </c>
      <c r="B758" s="93" t="str">
        <f>IF(B$38="","",B$38)</f>
        <v/>
      </c>
      <c r="C758" s="65" t="str">
        <f>IF($C$38="","",$C$38)</f>
        <v/>
      </c>
      <c r="D758" s="66" t="str">
        <f t="shared" si="30"/>
        <v/>
      </c>
      <c r="E758" s="73" t="e">
        <f t="shared" ca="1" si="28"/>
        <v>#VALUE!</v>
      </c>
      <c r="F758" s="64">
        <f>$F$38</f>
        <v>231</v>
      </c>
      <c r="G758" s="154" t="str">
        <f>IF(G$38="","",G$38)</f>
        <v>B</v>
      </c>
      <c r="H758" s="65" t="str">
        <f>IF($H$38="","",$H$38)</f>
        <v>Freizeit, Vergnügen, Unterhaltung</v>
      </c>
      <c r="I758" s="66">
        <f t="shared" ca="1" si="31"/>
        <v>0</v>
      </c>
      <c r="J758" s="73">
        <f t="shared" ca="1" si="29"/>
        <v>0</v>
      </c>
      <c r="Q758" s="112" t="str">
        <f>IF(Q$38="","",Q$38)</f>
        <v/>
      </c>
      <c r="S758" s="112" t="str">
        <f>IF(S$38="","",S$38)</f>
        <v/>
      </c>
    </row>
    <row r="759" spans="1:19" ht="13.5" customHeight="1" thickBot="1">
      <c r="A759" s="64">
        <f>$A$39</f>
        <v>132</v>
      </c>
      <c r="B759" s="154" t="str">
        <f>IF(B$39="","",B$39)</f>
        <v>B</v>
      </c>
      <c r="C759" s="65" t="str">
        <f>IF($C$39="","",$C$39)</f>
        <v>Feuerwehrsold</v>
      </c>
      <c r="D759" s="66">
        <f t="shared" ca="1" si="30"/>
        <v>0</v>
      </c>
      <c r="E759" s="73">
        <f t="shared" ref="E759:E774" ca="1" si="32">D39+D99+D159+D219+D279+D339+D399+D459+D519+D579+D639+D699</f>
        <v>0</v>
      </c>
      <c r="F759" s="64">
        <f>$F$39</f>
        <v>232</v>
      </c>
      <c r="G759" s="154" t="str">
        <f>IF(G$39="","",G$39)</f>
        <v>B</v>
      </c>
      <c r="H759" s="65" t="str">
        <f>IF($H$39="","",$H$39)</f>
        <v>Telefon</v>
      </c>
      <c r="I759" s="66">
        <f t="shared" ca="1" si="31"/>
        <v>0</v>
      </c>
      <c r="J759" s="73">
        <f t="shared" ref="J759:J774" ca="1" si="33">I39+I99+I159+I219+I279+I339+I399+I459+I519+I579+I639+I699</f>
        <v>0</v>
      </c>
      <c r="Q759" s="105">
        <f>SUMIF($B$727:$B$777,"G",$D$727:$D$777)</f>
        <v>0</v>
      </c>
      <c r="R759" s="104">
        <f>Q759+S759</f>
        <v>0</v>
      </c>
      <c r="S759" s="106">
        <f>SUMIF($G$727:$G$777,"G",$I$727:$I$777)</f>
        <v>0</v>
      </c>
    </row>
    <row r="760" spans="1:19" ht="13.5" customHeight="1">
      <c r="A760" s="64">
        <f>$A$40</f>
        <v>133</v>
      </c>
      <c r="B760" s="93" t="str">
        <f>IF(B$40="","",B$40)</f>
        <v/>
      </c>
      <c r="C760" s="65" t="str">
        <f>IF($C$40="","",$C$40)</f>
        <v/>
      </c>
      <c r="D760" s="66" t="str">
        <f t="shared" ref="D760:D775" si="34">IF(C760="","",E760)</f>
        <v/>
      </c>
      <c r="E760" s="73" t="e">
        <f t="shared" ca="1" si="32"/>
        <v>#VALUE!</v>
      </c>
      <c r="F760" s="64">
        <f>$F$40</f>
        <v>233</v>
      </c>
      <c r="G760" s="154" t="str">
        <f>IF(G$40="","",G$40)</f>
        <v>B</v>
      </c>
      <c r="H760" s="65" t="str">
        <f>IF($H$40="","",$H$40)</f>
        <v>Öffentlicher Verkehr und Velo</v>
      </c>
      <c r="I760" s="66">
        <f t="shared" ref="I760:I775" ca="1" si="35">IF(H760="","",J760)</f>
        <v>0</v>
      </c>
      <c r="J760" s="73">
        <f t="shared" ca="1" si="33"/>
        <v>0</v>
      </c>
    </row>
    <row r="761" spans="1:19" ht="13.5" customHeight="1" thickBot="1">
      <c r="A761" s="64">
        <f>$A$41</f>
        <v>134</v>
      </c>
      <c r="B761" s="93" t="str">
        <f>IF(B$41="","",B$41)</f>
        <v/>
      </c>
      <c r="C761" s="65" t="str">
        <f>IF($C$41="","",$C$41)</f>
        <v/>
      </c>
      <c r="D761" s="66" t="str">
        <f t="shared" si="34"/>
        <v/>
      </c>
      <c r="E761" s="73" t="e">
        <f t="shared" ca="1" si="32"/>
        <v>#VALUE!</v>
      </c>
      <c r="F761" s="64">
        <f>$F$41</f>
        <v>234</v>
      </c>
      <c r="G761" s="154" t="str">
        <f>IF(G$41="","",G$41)</f>
        <v>B</v>
      </c>
      <c r="H761" s="65" t="str">
        <f>IF($H$41="","",$H$41)</f>
        <v>Möbel, Wohnungseinrichtung</v>
      </c>
      <c r="I761" s="66">
        <f t="shared" ca="1" si="35"/>
        <v>0</v>
      </c>
      <c r="J761" s="73">
        <f t="shared" ca="1" si="33"/>
        <v>0</v>
      </c>
    </row>
    <row r="762" spans="1:19" ht="13.5" customHeight="1">
      <c r="A762" s="64">
        <f>$A$42</f>
        <v>135</v>
      </c>
      <c r="B762" s="93" t="str">
        <f>IF(B$42="","",B$42)</f>
        <v/>
      </c>
      <c r="C762" s="65" t="str">
        <f>IF($C$42="","",$C$42)</f>
        <v/>
      </c>
      <c r="D762" s="66" t="str">
        <f t="shared" si="34"/>
        <v/>
      </c>
      <c r="E762" s="73" t="e">
        <f t="shared" ca="1" si="32"/>
        <v>#VALUE!</v>
      </c>
      <c r="F762" s="64">
        <f>$F$42</f>
        <v>235</v>
      </c>
      <c r="G762" s="154" t="str">
        <f>IF(G$42="","",G$42)</f>
        <v>B</v>
      </c>
      <c r="H762" s="65" t="str">
        <f>IF($H$42="","",$H$42)</f>
        <v>Kosten IT Consulting / Webdesign</v>
      </c>
      <c r="I762" s="66">
        <f t="shared" ca="1" si="35"/>
        <v>0</v>
      </c>
      <c r="J762" s="73">
        <f t="shared" ca="1" si="33"/>
        <v>0</v>
      </c>
      <c r="Q762" s="100" t="s">
        <v>92</v>
      </c>
      <c r="S762" s="100" t="s">
        <v>101</v>
      </c>
    </row>
    <row r="763" spans="1:19" ht="13.5" customHeight="1">
      <c r="A763" s="64">
        <f>$A$43</f>
        <v>136</v>
      </c>
      <c r="B763" s="93" t="str">
        <f>IF(B$43="","",B$43)</f>
        <v/>
      </c>
      <c r="C763" s="65" t="str">
        <f>IF($C$43="","",$C$43)</f>
        <v/>
      </c>
      <c r="D763" s="66" t="str">
        <f t="shared" si="34"/>
        <v/>
      </c>
      <c r="E763" s="73" t="e">
        <f t="shared" ca="1" si="32"/>
        <v>#VALUE!</v>
      </c>
      <c r="F763" s="64">
        <f>$F$43</f>
        <v>236</v>
      </c>
      <c r="G763" s="154" t="str">
        <f>IF(G$43="","",G$43)</f>
        <v>B</v>
      </c>
      <c r="H763" s="65" t="str">
        <f>IF($H$43="","",$H$43)</f>
        <v>Schule und Bildung Kinder</v>
      </c>
      <c r="I763" s="66">
        <f t="shared" ca="1" si="35"/>
        <v>0</v>
      </c>
      <c r="J763" s="73">
        <f t="shared" ca="1" si="33"/>
        <v>0</v>
      </c>
      <c r="Q763" s="112" t="str">
        <f>IF(Q$43="","",Q$43)</f>
        <v/>
      </c>
      <c r="S763" s="112" t="str">
        <f>IF(S$43="","",S$43)</f>
        <v/>
      </c>
    </row>
    <row r="764" spans="1:19" ht="13.5" customHeight="1" thickBot="1">
      <c r="A764" s="64">
        <f>$A$44</f>
        <v>137</v>
      </c>
      <c r="B764" s="93" t="str">
        <f>IF(B$44="","",B$44)</f>
        <v/>
      </c>
      <c r="C764" s="65" t="str">
        <f>IF($C$44="","",$C$44)</f>
        <v/>
      </c>
      <c r="D764" s="66" t="str">
        <f t="shared" si="34"/>
        <v/>
      </c>
      <c r="E764" s="73" t="e">
        <f t="shared" ca="1" si="32"/>
        <v>#VALUE!</v>
      </c>
      <c r="F764" s="64">
        <f>$F$44</f>
        <v>237</v>
      </c>
      <c r="G764" s="154" t="str">
        <f>IF(G$44="","",G$44)</f>
        <v>B</v>
      </c>
      <c r="H764" s="65" t="str">
        <f>IF($H$44="","",$H$44)</f>
        <v>Org. Freizeitaktivitäten der Kinder</v>
      </c>
      <c r="I764" s="66">
        <f t="shared" ca="1" si="35"/>
        <v>0</v>
      </c>
      <c r="J764" s="73">
        <f t="shared" ca="1" si="33"/>
        <v>0</v>
      </c>
      <c r="Q764" s="105">
        <f>SUMIF($B$727:$B$777,"H",$D$727:$D$777)</f>
        <v>0</v>
      </c>
      <c r="R764" s="104">
        <f>Q764+S764</f>
        <v>0</v>
      </c>
      <c r="S764" s="106">
        <f>SUMIF($G$727:$G$777,"H",$I$727:$I$777)</f>
        <v>0</v>
      </c>
    </row>
    <row r="765" spans="1:19" ht="13.5" customHeight="1">
      <c r="A765" s="64">
        <f>$A$45</f>
        <v>138</v>
      </c>
      <c r="B765" s="93" t="str">
        <f>IF(B$45="","",B$45)</f>
        <v/>
      </c>
      <c r="C765" s="65" t="str">
        <f>IF($C$45="","",$C$45)</f>
        <v/>
      </c>
      <c r="D765" s="66" t="str">
        <f t="shared" si="34"/>
        <v/>
      </c>
      <c r="E765" s="73" t="e">
        <f t="shared" ca="1" si="32"/>
        <v>#VALUE!</v>
      </c>
      <c r="F765" s="64">
        <f>$F$45</f>
        <v>238</v>
      </c>
      <c r="G765" s="93" t="str">
        <f>IF(G$45="","",G$45)</f>
        <v/>
      </c>
      <c r="H765" s="65" t="str">
        <f>IF($H$45="","",$H$45)</f>
        <v/>
      </c>
      <c r="I765" s="66" t="str">
        <f t="shared" si="35"/>
        <v/>
      </c>
      <c r="J765" s="73" t="e">
        <f t="shared" ca="1" si="33"/>
        <v>#VALUE!</v>
      </c>
    </row>
    <row r="766" spans="1:19" ht="13.5" customHeight="1" thickBot="1">
      <c r="A766" s="64">
        <f>$A$46</f>
        <v>139</v>
      </c>
      <c r="B766" s="93" t="str">
        <f>IF(B$46="","",B$46)</f>
        <v/>
      </c>
      <c r="C766" s="65" t="str">
        <f>IF($C$46="","",$C$46)</f>
        <v/>
      </c>
      <c r="D766" s="66" t="str">
        <f t="shared" si="34"/>
        <v/>
      </c>
      <c r="E766" s="73" t="e">
        <f t="shared" ca="1" si="32"/>
        <v>#VALUE!</v>
      </c>
      <c r="F766" s="64">
        <f>$F$46</f>
        <v>239</v>
      </c>
      <c r="G766" s="154" t="str">
        <f>IF(G$46="","",G$46)</f>
        <v>B</v>
      </c>
      <c r="H766" s="65" t="str">
        <f>IF($H$46="","",$H$46)</f>
        <v>Wohltätige Spenden</v>
      </c>
      <c r="I766" s="66">
        <f t="shared" ca="1" si="35"/>
        <v>0</v>
      </c>
      <c r="J766" s="73">
        <f t="shared" ca="1" si="33"/>
        <v>0</v>
      </c>
    </row>
    <row r="767" spans="1:19" ht="13.5" customHeight="1">
      <c r="A767" s="64">
        <f>$A$47</f>
        <v>140</v>
      </c>
      <c r="B767" s="93" t="str">
        <f>IF(B$47="","",B$47)</f>
        <v/>
      </c>
      <c r="C767" s="65" t="str">
        <f>IF($C$47="","",$C$47)</f>
        <v/>
      </c>
      <c r="D767" s="66" t="str">
        <f t="shared" si="34"/>
        <v/>
      </c>
      <c r="E767" s="73" t="e">
        <f t="shared" ca="1" si="32"/>
        <v>#VALUE!</v>
      </c>
      <c r="F767" s="64">
        <f>$F$47</f>
        <v>240</v>
      </c>
      <c r="G767" s="154" t="str">
        <f>IF(G$47="","",G$47)</f>
        <v>B</v>
      </c>
      <c r="H767" s="65" t="str">
        <f>IF($H$47="","",$H$47)</f>
        <v>Vorsorgesparen 3a / PK Einkauf</v>
      </c>
      <c r="I767" s="66">
        <f t="shared" ca="1" si="35"/>
        <v>0</v>
      </c>
      <c r="J767" s="73">
        <f t="shared" ca="1" si="33"/>
        <v>0</v>
      </c>
      <c r="Q767" s="101" t="s">
        <v>93</v>
      </c>
      <c r="S767" s="101" t="s">
        <v>102</v>
      </c>
    </row>
    <row r="768" spans="1:19" ht="13.5" customHeight="1">
      <c r="A768" s="64">
        <f>$A$48</f>
        <v>141</v>
      </c>
      <c r="B768" s="93" t="str">
        <f>IF(B$48="","",B$48)</f>
        <v/>
      </c>
      <c r="C768" s="65" t="str">
        <f>IF($C$48="","",$C$48)</f>
        <v/>
      </c>
      <c r="D768" s="66" t="str">
        <f t="shared" si="34"/>
        <v/>
      </c>
      <c r="E768" s="73" t="e">
        <f t="shared" ca="1" si="32"/>
        <v>#VALUE!</v>
      </c>
      <c r="F768" s="64">
        <f>$F$48</f>
        <v>241</v>
      </c>
      <c r="G768" s="93" t="str">
        <f>IF(G$48="","",G$48)</f>
        <v/>
      </c>
      <c r="H768" s="65" t="str">
        <f>IF($H$48="","",$H$48)</f>
        <v/>
      </c>
      <c r="I768" s="66" t="str">
        <f t="shared" si="35"/>
        <v/>
      </c>
      <c r="J768" s="73" t="e">
        <f t="shared" ca="1" si="33"/>
        <v>#VALUE!</v>
      </c>
      <c r="Q768" s="112" t="str">
        <f>IF(Q$48="","",Q$48)</f>
        <v/>
      </c>
      <c r="S768" s="112" t="str">
        <f>IF(S$48="","",S$48)</f>
        <v/>
      </c>
    </row>
    <row r="769" spans="1:19" ht="13.5" customHeight="1" thickBot="1">
      <c r="A769" s="64">
        <f>$A$49</f>
        <v>142</v>
      </c>
      <c r="B769" s="93" t="str">
        <f>IF(B$49="","",B$49)</f>
        <v/>
      </c>
      <c r="C769" s="65" t="str">
        <f>IF($C$49="","",$C$49)</f>
        <v/>
      </c>
      <c r="D769" s="66" t="str">
        <f t="shared" si="34"/>
        <v/>
      </c>
      <c r="E769" s="73" t="e">
        <f t="shared" ca="1" si="32"/>
        <v>#VALUE!</v>
      </c>
      <c r="F769" s="64">
        <f>$F$49</f>
        <v>242</v>
      </c>
      <c r="G769" s="93" t="str">
        <f>IF(G$49="","",G$49)</f>
        <v/>
      </c>
      <c r="H769" s="65" t="str">
        <f>IF($H$49="","",$H$49)</f>
        <v/>
      </c>
      <c r="I769" s="66" t="str">
        <f t="shared" si="35"/>
        <v/>
      </c>
      <c r="J769" s="73" t="e">
        <f t="shared" ca="1" si="33"/>
        <v>#VALUE!</v>
      </c>
      <c r="Q769" s="105">
        <f>SUMIF($B$727:$B$777,"I",$D$727:$D$777)</f>
        <v>0</v>
      </c>
      <c r="R769" s="104">
        <f>Q769+S769</f>
        <v>0</v>
      </c>
      <c r="S769" s="106">
        <f>SUMIF($G$727:$G$777,"I",$I$727:$I$777)</f>
        <v>0</v>
      </c>
    </row>
    <row r="770" spans="1:19" ht="13.5" customHeight="1">
      <c r="A770" s="64">
        <f>$A$50</f>
        <v>143</v>
      </c>
      <c r="B770" s="93" t="str">
        <f>IF(B$50="","",B$50)</f>
        <v/>
      </c>
      <c r="C770" s="65" t="str">
        <f>IF($C$50="","",$C$50)</f>
        <v/>
      </c>
      <c r="D770" s="66" t="str">
        <f t="shared" si="34"/>
        <v/>
      </c>
      <c r="E770" s="73" t="e">
        <f t="shared" ca="1" si="32"/>
        <v>#VALUE!</v>
      </c>
      <c r="F770" s="64">
        <f>$F$50</f>
        <v>243</v>
      </c>
      <c r="G770" s="154" t="str">
        <f>IF(G$50="","",G$50)</f>
        <v>B</v>
      </c>
      <c r="H770" s="65" t="str">
        <f>IF($H$50="","",$H$50)</f>
        <v>Wasser</v>
      </c>
      <c r="I770" s="66">
        <f t="shared" ca="1" si="35"/>
        <v>0</v>
      </c>
      <c r="J770" s="73">
        <f t="shared" ca="1" si="33"/>
        <v>0</v>
      </c>
    </row>
    <row r="771" spans="1:19" ht="13.5" customHeight="1" thickBot="1">
      <c r="A771" s="64">
        <f>$A$51</f>
        <v>144</v>
      </c>
      <c r="B771" s="93" t="str">
        <f>IF(B$51="","",B$51)</f>
        <v/>
      </c>
      <c r="C771" s="65" t="str">
        <f>IF($C$51="","",$C$51)</f>
        <v/>
      </c>
      <c r="D771" s="66" t="str">
        <f t="shared" si="34"/>
        <v/>
      </c>
      <c r="E771" s="73" t="e">
        <f t="shared" ca="1" si="32"/>
        <v>#VALUE!</v>
      </c>
      <c r="F771" s="64">
        <f>$F$51</f>
        <v>244</v>
      </c>
      <c r="G771" s="154" t="str">
        <f>IF(G$51="","",G$51)</f>
        <v>B</v>
      </c>
      <c r="H771" s="65" t="str">
        <f>IF($H$51="","",$H$51)</f>
        <v>Strom</v>
      </c>
      <c r="I771" s="66">
        <f t="shared" ca="1" si="35"/>
        <v>0</v>
      </c>
      <c r="J771" s="73">
        <f t="shared" ca="1" si="33"/>
        <v>0</v>
      </c>
    </row>
    <row r="772" spans="1:19" ht="13.5" customHeight="1">
      <c r="A772" s="64">
        <f>$A$52</f>
        <v>145</v>
      </c>
      <c r="B772" s="93" t="str">
        <f>IF(B$52="","",B$52)</f>
        <v/>
      </c>
      <c r="C772" s="65" t="str">
        <f>IF($C$52="","",$C$52)</f>
        <v/>
      </c>
      <c r="D772" s="66" t="str">
        <f t="shared" si="34"/>
        <v/>
      </c>
      <c r="E772" s="73" t="e">
        <f t="shared" ca="1" si="32"/>
        <v>#VALUE!</v>
      </c>
      <c r="F772" s="64">
        <f>$F$52</f>
        <v>245</v>
      </c>
      <c r="G772" s="154" t="str">
        <f>IF(G$52="","",G$52)</f>
        <v>B</v>
      </c>
      <c r="H772" s="65" t="str">
        <f>IF($H$52="","",$H$52)</f>
        <v>Geschenke</v>
      </c>
      <c r="I772" s="66">
        <f t="shared" ca="1" si="35"/>
        <v>0</v>
      </c>
      <c r="J772" s="73">
        <f t="shared" ca="1" si="33"/>
        <v>0</v>
      </c>
      <c r="Q772" s="102" t="s">
        <v>94</v>
      </c>
      <c r="S772" s="102" t="s">
        <v>103</v>
      </c>
    </row>
    <row r="773" spans="1:19" ht="13.5" customHeight="1">
      <c r="A773" s="64">
        <f>$A$53</f>
        <v>146</v>
      </c>
      <c r="B773" s="93" t="str">
        <f>IF(B$53="","",B$53)</f>
        <v/>
      </c>
      <c r="C773" s="65" t="str">
        <f>IF($C$53="","",$C$53)</f>
        <v/>
      </c>
      <c r="D773" s="66" t="str">
        <f t="shared" si="34"/>
        <v/>
      </c>
      <c r="E773" s="73" t="e">
        <f t="shared" ca="1" si="32"/>
        <v>#VALUE!</v>
      </c>
      <c r="F773" s="64">
        <f>$F$53</f>
        <v>246</v>
      </c>
      <c r="G773" s="154" t="str">
        <f>IF(G$53="","",G$53)</f>
        <v>B</v>
      </c>
      <c r="H773" s="65" t="str">
        <f>IF($H$53="","",$H$53)</f>
        <v>Erwachsenenbildung</v>
      </c>
      <c r="I773" s="66">
        <f t="shared" ca="1" si="35"/>
        <v>0</v>
      </c>
      <c r="J773" s="73">
        <f t="shared" ca="1" si="33"/>
        <v>0</v>
      </c>
      <c r="Q773" s="112" t="str">
        <f>IF(Q$53="","",Q$53)</f>
        <v/>
      </c>
      <c r="S773" s="112" t="str">
        <f>IF(S$53="","",S$53)</f>
        <v/>
      </c>
    </row>
    <row r="774" spans="1:19" ht="13.5" customHeight="1" thickBot="1">
      <c r="A774" s="64">
        <f>$A$54</f>
        <v>147</v>
      </c>
      <c r="B774" s="154" t="str">
        <f>IF(B$54="","",B$54)</f>
        <v>B</v>
      </c>
      <c r="C774" s="65" t="str">
        <f>IF($C$54="","",$C$54)</f>
        <v>Diverse Privateinnahmen</v>
      </c>
      <c r="D774" s="66">
        <f t="shared" ca="1" si="34"/>
        <v>120.75</v>
      </c>
      <c r="E774" s="73">
        <f t="shared" ca="1" si="32"/>
        <v>120.75</v>
      </c>
      <c r="F774" s="64">
        <f>$F$54</f>
        <v>247</v>
      </c>
      <c r="G774" s="154" t="str">
        <f>IF(G$54="","",G$54)</f>
        <v>B</v>
      </c>
      <c r="H774" s="65" t="str">
        <f>IF($H$54="","",$H$54)</f>
        <v>Diverse Privatausgaben</v>
      </c>
      <c r="I774" s="66">
        <f t="shared" ca="1" si="35"/>
        <v>0</v>
      </c>
      <c r="J774" s="73">
        <f t="shared" ca="1" si="33"/>
        <v>0</v>
      </c>
      <c r="Q774" s="105">
        <f>SUMIF($B$727:$B$777,"K",$D$727:$D$777)</f>
        <v>0</v>
      </c>
      <c r="R774" s="104">
        <f>Q774+S774</f>
        <v>0</v>
      </c>
      <c r="S774" s="106">
        <f>SUMIF($G$727:$G$777,"K",$I$727:$I$777)</f>
        <v>0</v>
      </c>
    </row>
    <row r="775" spans="1:19" ht="13.5" customHeight="1">
      <c r="A775" s="64">
        <f>$A$55</f>
        <v>148</v>
      </c>
      <c r="B775" s="93" t="str">
        <f>IF(B$55="","",B$55)</f>
        <v/>
      </c>
      <c r="C775" s="65" t="str">
        <f>IF($C$55="","",$C$55)</f>
        <v/>
      </c>
      <c r="D775" s="66" t="str">
        <f t="shared" si="34"/>
        <v/>
      </c>
      <c r="E775" s="73" t="e">
        <f ca="1">D55+D115+D175+D235+D295+D355+D415+D475+D535+D595+D655+D715</f>
        <v>#VALUE!</v>
      </c>
      <c r="F775" s="64">
        <f>$F$55</f>
        <v>248</v>
      </c>
      <c r="G775" s="154" t="str">
        <f>IF(G$55="","",G$55)</f>
        <v>B</v>
      </c>
      <c r="H775" s="65" t="str">
        <f>IF($H$55="","",$H$55)</f>
        <v>Private Vereinsbeiträge</v>
      </c>
      <c r="I775" s="66">
        <f t="shared" ca="1" si="35"/>
        <v>0</v>
      </c>
      <c r="J775" s="73">
        <f ca="1">I55+I115+I175+I235+I295+I355+I415+I475+I535+I595+I655+I715</f>
        <v>0</v>
      </c>
    </row>
    <row r="776" spans="1:19" ht="13.5" customHeight="1" thickBot="1">
      <c r="A776" s="64">
        <f>$A$56</f>
        <v>149</v>
      </c>
      <c r="B776" s="93" t="str">
        <f>IF(B$56="","",B$56)</f>
        <v/>
      </c>
      <c r="C776" s="65" t="str">
        <f>IF($C$56="","",$C$56)</f>
        <v/>
      </c>
      <c r="D776" s="66" t="str">
        <f>IF(C776="","",E776)</f>
        <v/>
      </c>
      <c r="E776" s="73" t="e">
        <f ca="1">D56+D116+D176+D236+D296+D356+D416+D476+D536+D596+D656+D716</f>
        <v>#VALUE!</v>
      </c>
      <c r="F776" s="64">
        <f>$F$56</f>
        <v>249</v>
      </c>
      <c r="G776" s="154" t="str">
        <f>IF(G$56="","",G$56)</f>
        <v>B</v>
      </c>
      <c r="H776" s="65" t="str">
        <f>IF($H$56="","",$H$56)</f>
        <v>Spesen Vermögensverwaltung</v>
      </c>
      <c r="I776" s="66">
        <f ca="1">IF(H776="","",J776)</f>
        <v>0</v>
      </c>
      <c r="J776" s="73">
        <f ca="1">I56+I116+I176+I236+I296+I356+I416+I476+I536+I596+I656+I716</f>
        <v>0</v>
      </c>
    </row>
    <row r="777" spans="1:19" ht="13.5" customHeight="1" thickBot="1">
      <c r="A777" s="64">
        <f>$A$57</f>
        <v>150</v>
      </c>
      <c r="B777" s="154" t="str">
        <f>IF(B$57="","",B$57)</f>
        <v>B</v>
      </c>
      <c r="C777" s="65" t="str">
        <f>IF($C$57="","",$C$57)</f>
        <v>Zinsen, Zinssteuererstattungen</v>
      </c>
      <c r="D777" s="66">
        <f ca="1">IF(C777="","",E777)</f>
        <v>0</v>
      </c>
      <c r="E777" s="73">
        <f ca="1">D57+D117+D177+D237+D297+D357+D417+D477+D537+D597+D657+D717</f>
        <v>0</v>
      </c>
      <c r="F777" s="64">
        <f>$F$57</f>
        <v>250</v>
      </c>
      <c r="G777" s="154" t="str">
        <f>IF(G$57="","",G$57)</f>
        <v>B</v>
      </c>
      <c r="H777" s="65" t="str">
        <f>IF($H$57="","",$H$57)</f>
        <v>Steuern</v>
      </c>
      <c r="I777" s="66">
        <f ca="1">IF(H777="","",J777)</f>
        <v>-1500</v>
      </c>
      <c r="J777" s="73">
        <f ca="1">I57+I117+I177+I237+I297+I357+I417+I477+I537+I597+I657+I717</f>
        <v>-1500</v>
      </c>
      <c r="L777" s="119">
        <f ca="1">L729+L734+L739+L744+L749+L754+L759+L764+L769+L774</f>
        <v>1900.75</v>
      </c>
      <c r="M777" s="120" t="s">
        <v>111</v>
      </c>
      <c r="N777" s="121">
        <f ca="1">N729+N734+N739+N744+N749+N754+N759+N764+N769+N774</f>
        <v>-2410</v>
      </c>
      <c r="Q777" s="119">
        <f ca="1">Q729+Q734+Q739+Q744+Q749+Q754+Q759+Q764+Q769+Q774</f>
        <v>1900.75</v>
      </c>
      <c r="R777" s="120" t="s">
        <v>111</v>
      </c>
      <c r="S777" s="121">
        <f ca="1">S729+S734+S739+S744+S749+S754+S759+S764+S769+S774</f>
        <v>-2410</v>
      </c>
    </row>
    <row r="778" spans="1:19" ht="13.5" customHeight="1" thickTop="1" thickBot="1">
      <c r="A778" s="68" t="s">
        <v>38</v>
      </c>
      <c r="B778" s="91"/>
      <c r="C778" s="69"/>
      <c r="D778" s="70">
        <f ca="1">SUM(D727:D777)</f>
        <v>1900.75</v>
      </c>
      <c r="F778" s="68" t="s">
        <v>39</v>
      </c>
      <c r="G778" s="91"/>
      <c r="H778" s="69"/>
      <c r="I778" s="70">
        <f ca="1">SUM(I727:I777)</f>
        <v>-2410</v>
      </c>
      <c r="L778" s="117">
        <f ca="1">$D$778</f>
        <v>1900.75</v>
      </c>
      <c r="M778" s="41" t="s">
        <v>110</v>
      </c>
      <c r="N778" s="116">
        <f ca="1">$I$778</f>
        <v>-2410</v>
      </c>
      <c r="Q778" s="117">
        <f ca="1">$D$778</f>
        <v>1900.75</v>
      </c>
      <c r="R778" s="41" t="s">
        <v>110</v>
      </c>
      <c r="S778" s="116">
        <f ca="1">$I$778</f>
        <v>-2410</v>
      </c>
    </row>
    <row r="779" spans="1:19" ht="13.5" customHeight="1" thickTop="1">
      <c r="A779" s="71" t="s">
        <v>109</v>
      </c>
      <c r="B779" s="92"/>
      <c r="C779" s="72"/>
      <c r="D779" s="148">
        <f ca="1">D59+D119+D179+D239+D299+D359+D419+D479+D539+D599+D659+D719</f>
        <v>1900.75</v>
      </c>
      <c r="F779" s="71" t="s">
        <v>109</v>
      </c>
      <c r="G779" s="92"/>
      <c r="H779" s="72"/>
      <c r="I779" s="148">
        <f ca="1">I59+I119+I179+I239+I299+I359+I419+I479+I539+I599+I659+I719</f>
        <v>-2410</v>
      </c>
      <c r="L779" s="114">
        <f ca="1">L729+L734+L739+L744+L749+L754+L759+L764+L769+L774+SUMIF($B$727:$B$777,"",$D$727:$D$777)</f>
        <v>1900.75</v>
      </c>
      <c r="M779" s="115" t="s">
        <v>107</v>
      </c>
      <c r="N779" s="114">
        <f ca="1">N729+N734+N739+N744+N749+N754+N759+N764+N769+N774+SUMIF($G$727:$G$777,"",$I$727:$I$777)</f>
        <v>-2410</v>
      </c>
      <c r="Q779" s="114">
        <f ca="1">Q729+Q734+Q739+Q744+Q749+Q754+Q759+Q764+Q769+Q774+SUMIF($B$727:$B$777,"",$D$727:$D$777)</f>
        <v>1900.75</v>
      </c>
      <c r="R779" s="115" t="s">
        <v>107</v>
      </c>
      <c r="S779" s="114">
        <f ca="1">S729+S734+S739+S744+S749+S754+S759+S764+S769+S774+SUMIF($G$727:$G$777,"",$I$727:$I$777)</f>
        <v>-2410</v>
      </c>
    </row>
    <row r="780" spans="1:19" ht="12.95" customHeight="1">
      <c r="B780" s="108" t="s">
        <v>105</v>
      </c>
      <c r="G780" s="108" t="s">
        <v>105</v>
      </c>
    </row>
  </sheetData>
  <phoneticPr fontId="11" type="noConversion"/>
  <pageMargins left="0.39370078740157483" right="0" top="0.19685039370078741" bottom="0" header="0" footer="0"/>
  <pageSetup paperSize="9" orientation="portrait" horizontalDpi="4294967293" verticalDpi="300" r:id="rId1"/>
  <headerFooter alignWithMargins="0"/>
  <rowBreaks count="12" manualBreakCount="12">
    <brk id="60" max="65535" man="1"/>
    <brk id="120" max="65535" man="1"/>
    <brk id="180" max="65535" man="1"/>
    <brk id="240" max="65535" man="1"/>
    <brk id="300" max="65535" man="1"/>
    <brk id="360" max="65535" man="1"/>
    <brk id="420" max="65535" man="1"/>
    <brk id="480" max="65535" man="1"/>
    <brk id="540" max="65535" man="1"/>
    <brk id="600" max="65535" man="1"/>
    <brk id="660" max="65535" man="1"/>
    <brk id="720" max="6553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August ",'Kat. I'!$A$2)</f>
        <v xml:space="preserve">Finanzübersicht (Erfolgsrechnung) Monat August </v>
      </c>
      <c r="B1" s="1"/>
      <c r="K1" s="1" t="str">
        <f>CONCATENATE(Jan.!$K$2," August ",'Kat. I'!$A$2)</f>
        <v xml:space="preserve"> August </v>
      </c>
    </row>
    <row r="2" spans="1:14">
      <c r="C2" s="83" t="s">
        <v>29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Juli!K7</f>
        <v>1560.75</v>
      </c>
      <c r="L5" s="5">
        <f>Juli!L7</f>
        <v>-70</v>
      </c>
      <c r="M5" s="5">
        <f>Juli!M7</f>
        <v>0</v>
      </c>
      <c r="N5" s="5">
        <f>Juli!N7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$A$7-Juli!$A$7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IF(Juli!K12="","",Juli!K12)</f>
        <v>Kasse</v>
      </c>
      <c r="L12" s="6" t="str">
        <f>IF(Juli!L12="","",Juli!L12)</f>
        <v>Lohnkonto</v>
      </c>
      <c r="M12" s="6" t="str">
        <f>IF(Juli!M12="","",Juli!M12)</f>
        <v/>
      </c>
      <c r="N12" s="6" t="str">
        <f>IF(Juli!N12="","",Juli!N12)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IF(Juli!K14="","",Juli!K14)</f>
        <v/>
      </c>
      <c r="L14" s="20" t="str">
        <f>IF(Juli!L14="","",Juli!L14)</f>
        <v/>
      </c>
      <c r="M14" s="20" t="str">
        <f>IF(Juli!M14="","",Juli!M14)</f>
        <v/>
      </c>
      <c r="N14" s="20" t="str">
        <f>IF(Juli!N14="","",Juli!N14)</f>
        <v/>
      </c>
    </row>
    <row r="15" spans="1:14" ht="13.5" thickTop="1">
      <c r="A15" s="390"/>
      <c r="B15" s="391"/>
      <c r="C15" s="406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17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ref="M17:N39" si="3">IF($H17=M$3,$E17+$G17,0)</f>
        <v>0</v>
      </c>
      <c r="N17" s="405">
        <f t="shared" si="3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ref="K18:L20" si="4">IF($H18=K$3,$E18+$G18,0)</f>
        <v>0</v>
      </c>
      <c r="L18" s="405">
        <f t="shared" si="4"/>
        <v>0</v>
      </c>
      <c r="M18" s="405">
        <f t="shared" si="3"/>
        <v>0</v>
      </c>
      <c r="N18" s="405">
        <f t="shared" si="3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4"/>
        <v>0</v>
      </c>
      <c r="L19" s="405">
        <f t="shared" si="4"/>
        <v>0</v>
      </c>
      <c r="M19" s="405">
        <f t="shared" si="3"/>
        <v>0</v>
      </c>
      <c r="N19" s="405">
        <f t="shared" si="3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4"/>
        <v>0</v>
      </c>
      <c r="L20" s="405">
        <f t="shared" si="4"/>
        <v>0</v>
      </c>
      <c r="M20" s="405">
        <f t="shared" si="3"/>
        <v>0</v>
      </c>
      <c r="N20" s="405">
        <f t="shared" si="3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ref="K21:L39" si="5">IF($H21=K$3,$E21+$G21,0)</f>
        <v>0</v>
      </c>
      <c r="L21" s="405">
        <f t="shared" si="5"/>
        <v>0</v>
      </c>
      <c r="M21" s="405">
        <f t="shared" si="3"/>
        <v>0</v>
      </c>
      <c r="N21" s="405">
        <f t="shared" si="3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5"/>
        <v>0</v>
      </c>
      <c r="L22" s="405">
        <f t="shared" si="5"/>
        <v>0</v>
      </c>
      <c r="M22" s="405">
        <f t="shared" si="3"/>
        <v>0</v>
      </c>
      <c r="N22" s="405">
        <f t="shared" si="3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5"/>
        <v>0</v>
      </c>
      <c r="L23" s="405">
        <f t="shared" si="5"/>
        <v>0</v>
      </c>
      <c r="M23" s="405">
        <f t="shared" si="3"/>
        <v>0</v>
      </c>
      <c r="N23" s="405">
        <f t="shared" si="3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5"/>
        <v>0</v>
      </c>
      <c r="L24" s="405">
        <f t="shared" si="5"/>
        <v>0</v>
      </c>
      <c r="M24" s="405">
        <f t="shared" si="3"/>
        <v>0</v>
      </c>
      <c r="N24" s="405">
        <f t="shared" si="3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5"/>
        <v>0</v>
      </c>
      <c r="L25" s="405">
        <f t="shared" si="5"/>
        <v>0</v>
      </c>
      <c r="M25" s="405">
        <f t="shared" si="3"/>
        <v>0</v>
      </c>
      <c r="N25" s="405">
        <f t="shared" si="3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5"/>
        <v>0</v>
      </c>
      <c r="L26" s="405">
        <f t="shared" si="5"/>
        <v>0</v>
      </c>
      <c r="M26" s="405">
        <f t="shared" si="3"/>
        <v>0</v>
      </c>
      <c r="N26" s="405">
        <f t="shared" si="3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5"/>
        <v>0</v>
      </c>
      <c r="L27" s="405">
        <f t="shared" si="5"/>
        <v>0</v>
      </c>
      <c r="M27" s="405">
        <f t="shared" si="3"/>
        <v>0</v>
      </c>
      <c r="N27" s="405">
        <f t="shared" si="3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5"/>
        <v>0</v>
      </c>
      <c r="L28" s="405">
        <f t="shared" si="5"/>
        <v>0</v>
      </c>
      <c r="M28" s="405">
        <f t="shared" si="3"/>
        <v>0</v>
      </c>
      <c r="N28" s="405">
        <f t="shared" si="3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5"/>
        <v>0</v>
      </c>
      <c r="L29" s="405">
        <f t="shared" si="5"/>
        <v>0</v>
      </c>
      <c r="M29" s="405">
        <f t="shared" si="3"/>
        <v>0</v>
      </c>
      <c r="N29" s="405">
        <f t="shared" si="3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5"/>
        <v>0</v>
      </c>
      <c r="L30" s="405">
        <f t="shared" si="5"/>
        <v>0</v>
      </c>
      <c r="M30" s="405">
        <f t="shared" si="3"/>
        <v>0</v>
      </c>
      <c r="N30" s="405">
        <f t="shared" si="3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6">IF(AND(H31="",OR(E31&lt;&gt;"",G31&lt;&gt;"")),"?","")</f>
        <v/>
      </c>
      <c r="J31" s="8" t="str">
        <f t="shared" ref="J31:J39" si="7">IF(OR(E31&lt;0,G31&gt;0),"!","")</f>
        <v/>
      </c>
      <c r="K31" s="405">
        <f t="shared" si="5"/>
        <v>0</v>
      </c>
      <c r="L31" s="405">
        <f t="shared" si="5"/>
        <v>0</v>
      </c>
      <c r="M31" s="405">
        <f t="shared" si="3"/>
        <v>0</v>
      </c>
      <c r="N31" s="405">
        <f t="shared" si="3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6"/>
        <v/>
      </c>
      <c r="J32" s="8" t="str">
        <f t="shared" si="7"/>
        <v/>
      </c>
      <c r="K32" s="405">
        <f t="shared" si="5"/>
        <v>0</v>
      </c>
      <c r="L32" s="405">
        <f t="shared" si="5"/>
        <v>0</v>
      </c>
      <c r="M32" s="405">
        <f t="shared" si="3"/>
        <v>0</v>
      </c>
      <c r="N32" s="405">
        <f t="shared" si="3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6"/>
        <v/>
      </c>
      <c r="J33" s="8" t="str">
        <f t="shared" si="7"/>
        <v/>
      </c>
      <c r="K33" s="405">
        <f t="shared" si="5"/>
        <v>0</v>
      </c>
      <c r="L33" s="405">
        <f t="shared" si="5"/>
        <v>0</v>
      </c>
      <c r="M33" s="405">
        <f t="shared" si="3"/>
        <v>0</v>
      </c>
      <c r="N33" s="405">
        <f t="shared" si="3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6"/>
        <v/>
      </c>
      <c r="J34" s="8" t="str">
        <f t="shared" si="7"/>
        <v/>
      </c>
      <c r="K34" s="405">
        <f t="shared" si="5"/>
        <v>0</v>
      </c>
      <c r="L34" s="405">
        <f t="shared" si="5"/>
        <v>0</v>
      </c>
      <c r="M34" s="405">
        <f t="shared" si="3"/>
        <v>0</v>
      </c>
      <c r="N34" s="405">
        <f t="shared" si="3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6"/>
        <v/>
      </c>
      <c r="J35" s="8" t="str">
        <f t="shared" si="7"/>
        <v/>
      </c>
      <c r="K35" s="405">
        <f t="shared" si="5"/>
        <v>0</v>
      </c>
      <c r="L35" s="405">
        <f t="shared" si="5"/>
        <v>0</v>
      </c>
      <c r="M35" s="405">
        <f t="shared" si="3"/>
        <v>0</v>
      </c>
      <c r="N35" s="405">
        <f t="shared" si="3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6"/>
        <v/>
      </c>
      <c r="J36" s="8" t="str">
        <f t="shared" si="7"/>
        <v/>
      </c>
      <c r="K36" s="405">
        <f t="shared" si="5"/>
        <v>0</v>
      </c>
      <c r="L36" s="405">
        <f t="shared" si="5"/>
        <v>0</v>
      </c>
      <c r="M36" s="405">
        <f t="shared" si="3"/>
        <v>0</v>
      </c>
      <c r="N36" s="405">
        <f t="shared" si="3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6"/>
        <v/>
      </c>
      <c r="J37" s="8" t="str">
        <f t="shared" si="7"/>
        <v/>
      </c>
      <c r="K37" s="405">
        <f t="shared" si="5"/>
        <v>0</v>
      </c>
      <c r="L37" s="405">
        <f t="shared" si="5"/>
        <v>0</v>
      </c>
      <c r="M37" s="405">
        <f t="shared" si="3"/>
        <v>0</v>
      </c>
      <c r="N37" s="405">
        <f t="shared" si="3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6"/>
        <v/>
      </c>
      <c r="J38" s="8" t="str">
        <f t="shared" si="7"/>
        <v/>
      </c>
      <c r="K38" s="405">
        <f t="shared" si="5"/>
        <v>0</v>
      </c>
      <c r="L38" s="405">
        <f t="shared" si="5"/>
        <v>0</v>
      </c>
      <c r="M38" s="405">
        <f t="shared" si="3"/>
        <v>0</v>
      </c>
      <c r="N38" s="405">
        <f t="shared" si="3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6"/>
        <v/>
      </c>
      <c r="J39" s="8" t="str">
        <f t="shared" si="7"/>
        <v/>
      </c>
      <c r="K39" s="405">
        <f t="shared" si="5"/>
        <v>0</v>
      </c>
      <c r="L39" s="405">
        <f t="shared" si="5"/>
        <v>0</v>
      </c>
      <c r="M39" s="405">
        <f t="shared" si="3"/>
        <v>0</v>
      </c>
      <c r="N39" s="405">
        <f t="shared" si="3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September ",'Kat. I'!$A$2)</f>
        <v xml:space="preserve">Finanzübersicht (Erfolgsrechnung) Monat September </v>
      </c>
      <c r="B1" s="1"/>
      <c r="K1" s="1" t="str">
        <f>CONCATENATE(Jan.!$K$2," September ",'Kat. I'!$A$2)</f>
        <v xml:space="preserve"> September </v>
      </c>
    </row>
    <row r="2" spans="1:14">
      <c r="C2" s="83" t="s">
        <v>30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Aug.!K7</f>
        <v>1560.75</v>
      </c>
      <c r="L5" s="5">
        <f>Aug.!L7</f>
        <v>-70</v>
      </c>
      <c r="M5" s="5">
        <f>Aug.!M7</f>
        <v>0</v>
      </c>
      <c r="N5" s="5">
        <f>Aug.!N7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$A$7-Aug.!$A$7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IF(Aug.!K12="","",Aug.!K12)</f>
        <v>Kasse</v>
      </c>
      <c r="L12" s="6" t="str">
        <f>IF(Aug.!L12="","",Aug.!L12)</f>
        <v>Lohnkonto</v>
      </c>
      <c r="M12" s="6" t="str">
        <f>IF(Aug.!M12="","",Aug.!M12)</f>
        <v/>
      </c>
      <c r="N12" s="6" t="str">
        <f>IF(Aug.!N12="","",Aug.!N12)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IF(Aug.!K14="","",Aug.!K14)</f>
        <v/>
      </c>
      <c r="L14" s="20" t="str">
        <f>IF(Aug.!L14="","",Aug.!L14)</f>
        <v/>
      </c>
      <c r="M14" s="20" t="str">
        <f>IF(Aug.!M14="","",Aug.!M14)</f>
        <v/>
      </c>
      <c r="N14" s="20" t="str">
        <f>IF(Aug.!N14="","",Aug.!N14)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29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0"/>
        <v>0</v>
      </c>
      <c r="L25" s="405">
        <f t="shared" si="0"/>
        <v>0</v>
      </c>
      <c r="M25" s="405">
        <f t="shared" si="0"/>
        <v>0</v>
      </c>
      <c r="N25" s="405">
        <f t="shared" si="0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0"/>
        <v>0</v>
      </c>
      <c r="L26" s="405">
        <f t="shared" si="0"/>
        <v>0</v>
      </c>
      <c r="M26" s="405">
        <f t="shared" si="0"/>
        <v>0</v>
      </c>
      <c r="N26" s="405">
        <f t="shared" si="0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0"/>
        <v>0</v>
      </c>
      <c r="L27" s="405">
        <f t="shared" si="0"/>
        <v>0</v>
      </c>
      <c r="M27" s="405">
        <f t="shared" si="0"/>
        <v>0</v>
      </c>
      <c r="N27" s="405">
        <f t="shared" si="0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0"/>
        <v>0</v>
      </c>
      <c r="L28" s="405">
        <f t="shared" si="0"/>
        <v>0</v>
      </c>
      <c r="M28" s="405">
        <f t="shared" si="0"/>
        <v>0</v>
      </c>
      <c r="N28" s="405">
        <f t="shared" si="0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0"/>
        <v>0</v>
      </c>
      <c r="L29" s="405">
        <f t="shared" si="0"/>
        <v>0</v>
      </c>
      <c r="M29" s="405">
        <f t="shared" si="0"/>
        <v>0</v>
      </c>
      <c r="N29" s="405">
        <f t="shared" si="0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ref="K30:L39" si="3">IF($H30=K$3,$E30+$G30,0)</f>
        <v>0</v>
      </c>
      <c r="L30" s="405">
        <f t="shared" si="3"/>
        <v>0</v>
      </c>
      <c r="M30" s="405">
        <f t="shared" ref="M30:N39" si="4">IF($H30=M$3,$E30+$G30,0)</f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5">IF(AND(H31="",OR(E31&lt;&gt;"",G31&lt;&gt;"")),"?","")</f>
        <v/>
      </c>
      <c r="J31" s="8" t="str">
        <f t="shared" ref="J31:J39" si="6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3"/>
        <v>0</v>
      </c>
      <c r="L32" s="405">
        <f t="shared" si="3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3"/>
        <v>0</v>
      </c>
      <c r="L33" s="405">
        <f t="shared" si="3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3"/>
        <v>0</v>
      </c>
      <c r="L34" s="405">
        <f t="shared" si="3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3"/>
        <v>0</v>
      </c>
      <c r="L35" s="405">
        <f t="shared" si="3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3"/>
        <v>0</v>
      </c>
      <c r="L36" s="405">
        <f t="shared" si="3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5"/>
        <v/>
      </c>
      <c r="J37" s="8" t="str">
        <f t="shared" si="6"/>
        <v/>
      </c>
      <c r="K37" s="405">
        <f t="shared" si="3"/>
        <v>0</v>
      </c>
      <c r="L37" s="405">
        <f t="shared" si="3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5"/>
        <v/>
      </c>
      <c r="J38" s="8" t="str">
        <f t="shared" si="6"/>
        <v/>
      </c>
      <c r="K38" s="405">
        <f t="shared" si="3"/>
        <v>0</v>
      </c>
      <c r="L38" s="405">
        <f t="shared" si="3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5"/>
        <v/>
      </c>
      <c r="J39" s="8" t="str">
        <f t="shared" si="6"/>
        <v/>
      </c>
      <c r="K39" s="405">
        <f t="shared" si="3"/>
        <v>0</v>
      </c>
      <c r="L39" s="405">
        <f t="shared" si="3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Oktober ",'Kat. I'!$A$2)</f>
        <v xml:space="preserve">Finanzübersicht (Erfolgsrechnung) Monat Oktober </v>
      </c>
      <c r="B1" s="1"/>
      <c r="K1" s="1" t="str">
        <f>CONCATENATE(Jan.!$K$2," Oktober ",'Kat. I'!$A$2)</f>
        <v xml:space="preserve"> Oktober </v>
      </c>
    </row>
    <row r="2" spans="1:14">
      <c r="C2" s="83" t="s">
        <v>31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Sept.!K7</f>
        <v>1560.75</v>
      </c>
      <c r="L5" s="5">
        <f>Sept.!L7</f>
        <v>-70</v>
      </c>
      <c r="M5" s="5">
        <f>Sept.!M7</f>
        <v>0</v>
      </c>
      <c r="N5" s="5">
        <f>Sept.!N7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$A$7-Sept.!$A$7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IF(Sept.!K12="","",Sept.!K12)</f>
        <v>Kasse</v>
      </c>
      <c r="L12" s="6" t="str">
        <f>IF(Sept.!L12="","",Sept.!L12)</f>
        <v>Lohnkonto</v>
      </c>
      <c r="M12" s="6" t="str">
        <f>IF(Sept.!M12="","",Sept.!M12)</f>
        <v/>
      </c>
      <c r="N12" s="6" t="str">
        <f>IF(Sept.!N12="","",Sept.!N12)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IF(Sept.!K14="","",Sept.!K14)</f>
        <v/>
      </c>
      <c r="L14" s="20" t="str">
        <f>IF(Sept.!L14="","",Sept.!L14)</f>
        <v/>
      </c>
      <c r="M14" s="20" t="str">
        <f>IF(Sept.!M14="","",Sept.!M14)</f>
        <v/>
      </c>
      <c r="N14" s="20" t="str">
        <f>IF(Sept.!N14="","",Sept.!N14)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34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0"/>
        <v>0</v>
      </c>
      <c r="L25" s="405">
        <f t="shared" si="0"/>
        <v>0</v>
      </c>
      <c r="M25" s="405">
        <f t="shared" si="0"/>
        <v>0</v>
      </c>
      <c r="N25" s="405">
        <f t="shared" si="0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0"/>
        <v>0</v>
      </c>
      <c r="L26" s="405">
        <f t="shared" si="0"/>
        <v>0</v>
      </c>
      <c r="M26" s="405">
        <f t="shared" si="0"/>
        <v>0</v>
      </c>
      <c r="N26" s="405">
        <f t="shared" si="0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0"/>
        <v>0</v>
      </c>
      <c r="L27" s="405">
        <f t="shared" si="0"/>
        <v>0</v>
      </c>
      <c r="M27" s="405">
        <f t="shared" si="0"/>
        <v>0</v>
      </c>
      <c r="N27" s="405">
        <f t="shared" si="0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0"/>
        <v>0</v>
      </c>
      <c r="L28" s="405">
        <f t="shared" si="0"/>
        <v>0</v>
      </c>
      <c r="M28" s="405">
        <f t="shared" si="0"/>
        <v>0</v>
      </c>
      <c r="N28" s="405">
        <f t="shared" si="0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0"/>
        <v>0</v>
      </c>
      <c r="L29" s="405">
        <f t="shared" si="0"/>
        <v>0</v>
      </c>
      <c r="M29" s="405">
        <f t="shared" si="0"/>
        <v>0</v>
      </c>
      <c r="N29" s="405">
        <f t="shared" si="0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0"/>
        <v>0</v>
      </c>
      <c r="L30" s="405">
        <f t="shared" si="0"/>
        <v>0</v>
      </c>
      <c r="M30" s="405">
        <f t="shared" si="0"/>
        <v>0</v>
      </c>
      <c r="N30" s="405">
        <f t="shared" si="0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3">IF(AND(H31="",OR(E31&lt;&gt;"",G31&lt;&gt;"")),"?","")</f>
        <v/>
      </c>
      <c r="J31" s="8" t="str">
        <f t="shared" ref="J31:J39" si="4">IF(OR(E31&lt;0,G31&gt;0),"!","")</f>
        <v/>
      </c>
      <c r="K31" s="405">
        <f t="shared" si="0"/>
        <v>0</v>
      </c>
      <c r="L31" s="405">
        <f t="shared" si="0"/>
        <v>0</v>
      </c>
      <c r="M31" s="405">
        <f t="shared" si="0"/>
        <v>0</v>
      </c>
      <c r="N31" s="405">
        <f t="shared" si="0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3"/>
        <v/>
      </c>
      <c r="J32" s="8" t="str">
        <f t="shared" si="4"/>
        <v/>
      </c>
      <c r="K32" s="405">
        <f t="shared" si="0"/>
        <v>0</v>
      </c>
      <c r="L32" s="405">
        <f t="shared" si="0"/>
        <v>0</v>
      </c>
      <c r="M32" s="405">
        <f t="shared" si="0"/>
        <v>0</v>
      </c>
      <c r="N32" s="405">
        <f t="shared" si="0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3"/>
        <v/>
      </c>
      <c r="J33" s="8" t="str">
        <f t="shared" si="4"/>
        <v/>
      </c>
      <c r="K33" s="405">
        <f t="shared" si="0"/>
        <v>0</v>
      </c>
      <c r="L33" s="405">
        <f t="shared" si="0"/>
        <v>0</v>
      </c>
      <c r="M33" s="405">
        <f t="shared" si="0"/>
        <v>0</v>
      </c>
      <c r="N33" s="405">
        <f t="shared" si="0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3"/>
        <v/>
      </c>
      <c r="J34" s="8" t="str">
        <f t="shared" si="4"/>
        <v/>
      </c>
      <c r="K34" s="405">
        <f t="shared" si="0"/>
        <v>0</v>
      </c>
      <c r="L34" s="405">
        <f t="shared" si="0"/>
        <v>0</v>
      </c>
      <c r="M34" s="405">
        <f t="shared" si="0"/>
        <v>0</v>
      </c>
      <c r="N34" s="405">
        <f t="shared" si="0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3"/>
        <v/>
      </c>
      <c r="J35" s="8" t="str">
        <f t="shared" si="4"/>
        <v/>
      </c>
      <c r="K35" s="405">
        <f t="shared" ref="K35:N39" si="5">IF($H35=K$3,$E35+$G35,0)</f>
        <v>0</v>
      </c>
      <c r="L35" s="405">
        <f t="shared" si="5"/>
        <v>0</v>
      </c>
      <c r="M35" s="405">
        <f t="shared" si="5"/>
        <v>0</v>
      </c>
      <c r="N35" s="405">
        <f t="shared" si="5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3"/>
        <v/>
      </c>
      <c r="J36" s="8" t="str">
        <f t="shared" si="4"/>
        <v/>
      </c>
      <c r="K36" s="405">
        <f t="shared" si="5"/>
        <v>0</v>
      </c>
      <c r="L36" s="405">
        <f t="shared" si="5"/>
        <v>0</v>
      </c>
      <c r="M36" s="405">
        <f t="shared" si="5"/>
        <v>0</v>
      </c>
      <c r="N36" s="405">
        <f t="shared" si="5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3"/>
        <v/>
      </c>
      <c r="J37" s="8" t="str">
        <f t="shared" si="4"/>
        <v/>
      </c>
      <c r="K37" s="405">
        <f t="shared" si="5"/>
        <v>0</v>
      </c>
      <c r="L37" s="405">
        <f t="shared" si="5"/>
        <v>0</v>
      </c>
      <c r="M37" s="405">
        <f t="shared" si="5"/>
        <v>0</v>
      </c>
      <c r="N37" s="405">
        <f t="shared" si="5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3"/>
        <v/>
      </c>
      <c r="J38" s="8" t="str">
        <f t="shared" si="4"/>
        <v/>
      </c>
      <c r="K38" s="405">
        <f t="shared" si="5"/>
        <v>0</v>
      </c>
      <c r="L38" s="405">
        <f t="shared" si="5"/>
        <v>0</v>
      </c>
      <c r="M38" s="405">
        <f t="shared" si="5"/>
        <v>0</v>
      </c>
      <c r="N38" s="405">
        <f t="shared" si="5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3"/>
        <v/>
      </c>
      <c r="J39" s="8" t="str">
        <f t="shared" si="4"/>
        <v/>
      </c>
      <c r="K39" s="405">
        <f t="shared" si="5"/>
        <v>0</v>
      </c>
      <c r="L39" s="405">
        <f t="shared" si="5"/>
        <v>0</v>
      </c>
      <c r="M39" s="405">
        <f t="shared" si="5"/>
        <v>0</v>
      </c>
      <c r="N39" s="405">
        <f t="shared" si="5"/>
        <v>0</v>
      </c>
    </row>
  </sheetData>
  <sheetProtection sheet="1" objects="1" scenarios="1"/>
  <phoneticPr fontId="11" type="noConversion"/>
  <printOptions horizontalCentered="1"/>
  <pageMargins left="0" right="0" top="0.59055118110236227" bottom="0" header="0.51181102362204722" footer="0.51181102362204722"/>
  <pageSetup paperSize="9" scale="80" orientation="landscape" horizontalDpi="4294967295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November ",'Kat. I'!$A$2)</f>
        <v xml:space="preserve">Finanzübersicht (Erfolgsrechnung) Monat November </v>
      </c>
      <c r="B1" s="1"/>
      <c r="K1" s="1" t="str">
        <f>CONCATENATE(Jan.!$K$2," November ",'Kat. I'!$A$2)</f>
        <v xml:space="preserve"> November </v>
      </c>
    </row>
    <row r="2" spans="1:14">
      <c r="C2" s="83" t="s">
        <v>32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Okt.!K7</f>
        <v>1560.75</v>
      </c>
      <c r="L5" s="5">
        <f>Okt.!L7</f>
        <v>-70</v>
      </c>
      <c r="M5" s="5">
        <f>Okt.!M7</f>
        <v>0</v>
      </c>
      <c r="N5" s="5">
        <f>Okt.!N7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$A$7-Okt.!$A$7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IF(Okt.!K12="","",Okt.!K12)</f>
        <v>Kasse</v>
      </c>
      <c r="L12" s="6" t="str">
        <f>IF(Okt.!L12="","",Okt.!L12)</f>
        <v>Lohnkonto</v>
      </c>
      <c r="M12" s="6" t="str">
        <f>IF(Okt.!M12="","",Okt.!M12)</f>
        <v/>
      </c>
      <c r="N12" s="6" t="str">
        <f>IF(Okt.!N12="","",Okt.!N12)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IF(Okt.!K14="","",Okt.!K14)</f>
        <v/>
      </c>
      <c r="L14" s="20" t="str">
        <f>IF(Okt.!L14="","",Okt.!L14)</f>
        <v/>
      </c>
      <c r="M14" s="20" t="str">
        <f>IF(Okt.!M14="","",Okt.!M14)</f>
        <v/>
      </c>
      <c r="N14" s="20" t="str">
        <f>IF(Okt.!N14="","",Okt.!N14)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24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29" si="1">IF(AND(H17="",OR(E17&lt;&gt;"",G17&lt;&gt;"")),"?","")</f>
        <v/>
      </c>
      <c r="J17" s="8" t="str">
        <f t="shared" ref="J17:J29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ref="K25:L39" si="3">IF($H25=K$3,$E25+$G25,0)</f>
        <v>0</v>
      </c>
      <c r="L25" s="405">
        <f t="shared" si="3"/>
        <v>0</v>
      </c>
      <c r="M25" s="405">
        <f t="shared" ref="M25:N39" si="4">IF($H25=M$3,$E25+$G25,0)</f>
        <v>0</v>
      </c>
      <c r="N25" s="405">
        <f t="shared" si="4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3"/>
        <v>0</v>
      </c>
      <c r="L26" s="405">
        <f t="shared" si="3"/>
        <v>0</v>
      </c>
      <c r="M26" s="405">
        <f t="shared" si="4"/>
        <v>0</v>
      </c>
      <c r="N26" s="405">
        <f t="shared" si="4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3"/>
        <v>0</v>
      </c>
      <c r="L27" s="405">
        <f t="shared" si="3"/>
        <v>0</v>
      </c>
      <c r="M27" s="405">
        <f t="shared" si="4"/>
        <v>0</v>
      </c>
      <c r="N27" s="405">
        <f t="shared" si="4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3"/>
        <v>0</v>
      </c>
      <c r="L28" s="405">
        <f t="shared" si="3"/>
        <v>0</v>
      </c>
      <c r="M28" s="405">
        <f t="shared" si="4"/>
        <v>0</v>
      </c>
      <c r="N28" s="405">
        <f t="shared" si="4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3"/>
        <v>0</v>
      </c>
      <c r="L29" s="405">
        <f t="shared" si="3"/>
        <v>0</v>
      </c>
      <c r="M29" s="405">
        <f t="shared" si="4"/>
        <v>0</v>
      </c>
      <c r="N29" s="405">
        <f t="shared" si="4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ref="I30:I39" si="5">IF(AND(H30="",OR(E30&lt;&gt;"",G30&lt;&gt;"")),"?","")</f>
        <v/>
      </c>
      <c r="J30" s="8" t="str">
        <f t="shared" ref="J30:J39" si="6">IF(OR(E30&lt;0,G30&gt;0),"!","")</f>
        <v/>
      </c>
      <c r="K30" s="405">
        <f t="shared" si="3"/>
        <v>0</v>
      </c>
      <c r="L30" s="405">
        <f t="shared" si="3"/>
        <v>0</v>
      </c>
      <c r="M30" s="405">
        <f t="shared" si="4"/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si="5"/>
        <v/>
      </c>
      <c r="J31" s="8" t="str">
        <f t="shared" si="6"/>
        <v/>
      </c>
      <c r="K31" s="405">
        <f t="shared" si="3"/>
        <v>0</v>
      </c>
      <c r="L31" s="405">
        <f t="shared" si="3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3"/>
        <v>0</v>
      </c>
      <c r="L32" s="405">
        <f t="shared" si="3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3"/>
        <v>0</v>
      </c>
      <c r="L33" s="405">
        <f t="shared" si="3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3"/>
        <v>0</v>
      </c>
      <c r="L34" s="405">
        <f t="shared" si="3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3"/>
        <v>0</v>
      </c>
      <c r="L35" s="405">
        <f t="shared" si="3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3"/>
        <v>0</v>
      </c>
      <c r="L36" s="405">
        <f t="shared" si="3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5"/>
        <v/>
      </c>
      <c r="J37" s="8" t="str">
        <f t="shared" si="6"/>
        <v/>
      </c>
      <c r="K37" s="405">
        <f t="shared" si="3"/>
        <v>0</v>
      </c>
      <c r="L37" s="405">
        <f t="shared" si="3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5"/>
        <v/>
      </c>
      <c r="J38" s="8" t="str">
        <f t="shared" si="6"/>
        <v/>
      </c>
      <c r="K38" s="405">
        <f t="shared" si="3"/>
        <v>0</v>
      </c>
      <c r="L38" s="405">
        <f t="shared" si="3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5"/>
        <v/>
      </c>
      <c r="J39" s="8" t="str">
        <f t="shared" si="6"/>
        <v/>
      </c>
      <c r="K39" s="405">
        <f t="shared" si="3"/>
        <v>0</v>
      </c>
      <c r="L39" s="405">
        <f t="shared" si="3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" header="0.51181102362204722" footer="0.51181102362204722"/>
  <pageSetup paperSize="9" scale="80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Dezember ",'Kat. I'!$A$2)</f>
        <v xml:space="preserve">Finanzübersicht (Erfolgsrechnung) Monat Dezember </v>
      </c>
      <c r="B1" s="1"/>
      <c r="K1" s="1" t="str">
        <f>CONCATENATE(Jan.!$K$2," Dezember ",'Kat. I'!$A$2)</f>
        <v xml:space="preserve"> Dezember </v>
      </c>
    </row>
    <row r="2" spans="1:14">
      <c r="C2" s="83" t="s">
        <v>33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Nov.!K7</f>
        <v>1560.75</v>
      </c>
      <c r="L5" s="5">
        <f>Nov.!L7</f>
        <v>-70</v>
      </c>
      <c r="M5" s="5">
        <f>Nov.!M7</f>
        <v>0</v>
      </c>
      <c r="N5" s="5">
        <f>Nov.!N7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$A$7-Nov.!$A$7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IF(Nov.!K12="","",Nov.!K12)</f>
        <v>Kasse</v>
      </c>
      <c r="L12" s="6" t="str">
        <f>IF(Nov.!L12="","",Nov.!L12)</f>
        <v>Lohnkonto</v>
      </c>
      <c r="M12" s="6" t="str">
        <f>IF(Nov.!M12="","",Nov.!M12)</f>
        <v/>
      </c>
      <c r="N12" s="6" t="str">
        <f>IF(Nov.!N12="","",Nov.!N12)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IF(Nov.!K14="","",Nov.!K14)</f>
        <v/>
      </c>
      <c r="L14" s="20" t="str">
        <f>IF(Nov.!L14="","",Nov.!L14)</f>
        <v/>
      </c>
      <c r="M14" s="20" t="str">
        <f>IF(Nov.!M14="","",Nov.!M14)</f>
        <v/>
      </c>
      <c r="N14" s="20" t="str">
        <f>IF(Nov.!N14="","",Nov.!N14)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26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0"/>
        <v>0</v>
      </c>
      <c r="L25" s="405">
        <f t="shared" si="0"/>
        <v>0</v>
      </c>
      <c r="M25" s="405">
        <f t="shared" si="0"/>
        <v>0</v>
      </c>
      <c r="N25" s="405">
        <f t="shared" si="0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0"/>
        <v>0</v>
      </c>
      <c r="L26" s="405">
        <f t="shared" si="0"/>
        <v>0</v>
      </c>
      <c r="M26" s="405">
        <f t="shared" si="0"/>
        <v>0</v>
      </c>
      <c r="N26" s="405">
        <f t="shared" si="0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ref="K27:N39" si="3">IF($H27=K$3,$E27+$G27,0)</f>
        <v>0</v>
      </c>
      <c r="L27" s="405">
        <f t="shared" si="3"/>
        <v>0</v>
      </c>
      <c r="M27" s="405">
        <f t="shared" si="3"/>
        <v>0</v>
      </c>
      <c r="N27" s="405">
        <f t="shared" si="3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3"/>
        <v>0</v>
      </c>
      <c r="L28" s="405">
        <f t="shared" si="3"/>
        <v>0</v>
      </c>
      <c r="M28" s="405">
        <f t="shared" si="3"/>
        <v>0</v>
      </c>
      <c r="N28" s="405">
        <f t="shared" si="3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3"/>
        <v>0</v>
      </c>
      <c r="L29" s="405">
        <f t="shared" si="3"/>
        <v>0</v>
      </c>
      <c r="M29" s="405">
        <f t="shared" si="3"/>
        <v>0</v>
      </c>
      <c r="N29" s="405">
        <f t="shared" si="3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3"/>
        <v>0</v>
      </c>
      <c r="L30" s="405">
        <f t="shared" si="3"/>
        <v>0</v>
      </c>
      <c r="M30" s="405">
        <f t="shared" si="3"/>
        <v>0</v>
      </c>
      <c r="N30" s="405">
        <f t="shared" si="3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4">IF(AND(H31="",OR(E31&lt;&gt;"",G31&lt;&gt;"")),"?","")</f>
        <v/>
      </c>
      <c r="J31" s="8" t="str">
        <f t="shared" ref="J31:J39" si="5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3"/>
        <v>0</v>
      </c>
      <c r="N31" s="405">
        <f t="shared" si="3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4"/>
        <v/>
      </c>
      <c r="J32" s="8" t="str">
        <f t="shared" si="5"/>
        <v/>
      </c>
      <c r="K32" s="405">
        <f t="shared" si="3"/>
        <v>0</v>
      </c>
      <c r="L32" s="405">
        <f t="shared" si="3"/>
        <v>0</v>
      </c>
      <c r="M32" s="405">
        <f t="shared" si="3"/>
        <v>0</v>
      </c>
      <c r="N32" s="405">
        <f t="shared" si="3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4"/>
        <v/>
      </c>
      <c r="J33" s="8" t="str">
        <f t="shared" si="5"/>
        <v/>
      </c>
      <c r="K33" s="405">
        <f t="shared" si="3"/>
        <v>0</v>
      </c>
      <c r="L33" s="405">
        <f t="shared" si="3"/>
        <v>0</v>
      </c>
      <c r="M33" s="405">
        <f t="shared" si="3"/>
        <v>0</v>
      </c>
      <c r="N33" s="405">
        <f t="shared" si="3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4"/>
        <v/>
      </c>
      <c r="J34" s="8" t="str">
        <f t="shared" si="5"/>
        <v/>
      </c>
      <c r="K34" s="405">
        <f t="shared" si="3"/>
        <v>0</v>
      </c>
      <c r="L34" s="405">
        <f t="shared" si="3"/>
        <v>0</v>
      </c>
      <c r="M34" s="405">
        <f t="shared" si="3"/>
        <v>0</v>
      </c>
      <c r="N34" s="405">
        <f t="shared" si="3"/>
        <v>0</v>
      </c>
    </row>
    <row r="35" spans="1:14">
      <c r="A35" s="396"/>
      <c r="B35" s="397"/>
      <c r="C35" s="398"/>
      <c r="D35" s="407"/>
      <c r="E35" s="400"/>
      <c r="F35" s="401"/>
      <c r="G35" s="402"/>
      <c r="H35" s="403"/>
      <c r="I35" s="216" t="str">
        <f t="shared" si="4"/>
        <v/>
      </c>
      <c r="J35" s="8" t="str">
        <f t="shared" si="5"/>
        <v/>
      </c>
      <c r="K35" s="405">
        <f t="shared" si="3"/>
        <v>0</v>
      </c>
      <c r="L35" s="405">
        <f t="shared" si="3"/>
        <v>0</v>
      </c>
      <c r="M35" s="405">
        <f t="shared" si="3"/>
        <v>0</v>
      </c>
      <c r="N35" s="405">
        <f t="shared" si="3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4"/>
        <v/>
      </c>
      <c r="J36" s="8" t="str">
        <f t="shared" si="5"/>
        <v/>
      </c>
      <c r="K36" s="405">
        <f t="shared" si="3"/>
        <v>0</v>
      </c>
      <c r="L36" s="405">
        <f t="shared" si="3"/>
        <v>0</v>
      </c>
      <c r="M36" s="405">
        <f t="shared" si="3"/>
        <v>0</v>
      </c>
      <c r="N36" s="405">
        <f t="shared" si="3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4"/>
        <v/>
      </c>
      <c r="J37" s="8" t="str">
        <f t="shared" si="5"/>
        <v/>
      </c>
      <c r="K37" s="405">
        <f t="shared" si="3"/>
        <v>0</v>
      </c>
      <c r="L37" s="405">
        <f t="shared" si="3"/>
        <v>0</v>
      </c>
      <c r="M37" s="405">
        <f t="shared" si="3"/>
        <v>0</v>
      </c>
      <c r="N37" s="405">
        <f t="shared" si="3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4"/>
        <v/>
      </c>
      <c r="J38" s="8" t="str">
        <f t="shared" si="5"/>
        <v/>
      </c>
      <c r="K38" s="405">
        <f t="shared" si="3"/>
        <v>0</v>
      </c>
      <c r="L38" s="405">
        <f t="shared" si="3"/>
        <v>0</v>
      </c>
      <c r="M38" s="405">
        <f t="shared" si="3"/>
        <v>0</v>
      </c>
      <c r="N38" s="405">
        <f t="shared" si="3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4"/>
        <v/>
      </c>
      <c r="J39" s="8" t="str">
        <f t="shared" si="5"/>
        <v/>
      </c>
      <c r="K39" s="405">
        <f t="shared" si="3"/>
        <v>0</v>
      </c>
      <c r="L39" s="405">
        <f t="shared" si="3"/>
        <v>0</v>
      </c>
      <c r="M39" s="405">
        <f t="shared" si="3"/>
        <v>0</v>
      </c>
      <c r="N39" s="405">
        <f t="shared" si="3"/>
        <v>0</v>
      </c>
    </row>
  </sheetData>
  <sheetProtection sheet="1" objects="1" scenarios="1"/>
  <phoneticPr fontId="11" type="noConversion"/>
  <printOptions horizontalCentered="1"/>
  <pageMargins left="0" right="0" top="0" bottom="0" header="0.51181102362204722" footer="0.51181102362204722"/>
  <pageSetup paperSize="9" scale="80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H15"/>
  <sheetViews>
    <sheetView showGridLines="0" zoomScale="85" workbookViewId="0">
      <pane ySplit="14" topLeftCell="A15" activePane="bottomLeft" state="frozen"/>
      <selection pane="bottomLeft"/>
    </sheetView>
  </sheetViews>
  <sheetFormatPr baseColWidth="10" defaultRowHeight="12.75"/>
  <cols>
    <col min="1" max="1" width="13.7109375" style="81" customWidth="1"/>
    <col min="2" max="2" width="5.7109375" style="81" customWidth="1"/>
    <col min="3" max="3" width="65.5703125" style="81" customWidth="1"/>
    <col min="4" max="4" width="4.7109375" style="81" customWidth="1"/>
    <col min="5" max="5" width="11.42578125" style="80"/>
    <col min="6" max="6" width="4.7109375" style="80" customWidth="1"/>
    <col min="7" max="7" width="10.7109375" style="80" customWidth="1"/>
    <col min="8" max="8" width="4.7109375" style="80" customWidth="1"/>
    <col min="9" max="16384" width="11.42578125" style="80"/>
  </cols>
  <sheetData>
    <row r="1" spans="1:8" ht="23.25">
      <c r="A1" s="79" t="s">
        <v>196</v>
      </c>
      <c r="B1" s="38"/>
      <c r="C1" s="38"/>
      <c r="D1" s="38"/>
      <c r="F1" s="38"/>
    </row>
    <row r="2" spans="1:8">
      <c r="C2" s="173"/>
      <c r="D2" s="38"/>
      <c r="F2" s="38"/>
      <c r="G2" s="123"/>
      <c r="H2" s="38"/>
    </row>
    <row r="3" spans="1:8">
      <c r="A3" s="151" t="s">
        <v>113</v>
      </c>
      <c r="B3" s="37" t="s">
        <v>116</v>
      </c>
      <c r="C3" s="176"/>
      <c r="D3" s="174"/>
      <c r="E3" s="178"/>
      <c r="F3" s="175"/>
      <c r="G3" s="177"/>
      <c r="H3" s="38"/>
    </row>
    <row r="4" spans="1:8" ht="13.5" thickBot="1">
      <c r="A4" s="122"/>
      <c r="B4" s="122"/>
      <c r="C4" s="81" t="s">
        <v>108</v>
      </c>
      <c r="D4" s="122"/>
      <c r="F4" s="38"/>
      <c r="G4" s="38"/>
      <c r="H4" s="38"/>
    </row>
    <row r="5" spans="1:8" ht="13.5" hidden="1" thickBot="1"/>
    <row r="6" spans="1:8" ht="13.5" hidden="1" thickBot="1"/>
    <row r="7" spans="1:8" ht="13.5" hidden="1" thickBot="1"/>
    <row r="8" spans="1:8" ht="13.5" hidden="1" thickBot="1"/>
    <row r="9" spans="1:8" ht="13.5" hidden="1" thickBot="1"/>
    <row r="10" spans="1:8" ht="13.5" hidden="1" thickBot="1"/>
    <row r="11" spans="1:8" ht="13.5" hidden="1" thickBot="1"/>
    <row r="12" spans="1:8" ht="13.5" hidden="1" thickBot="1"/>
    <row r="13" spans="1:8" ht="13.5" hidden="1" thickBot="1"/>
    <row r="14" spans="1:8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</row>
    <row r="15" spans="1:8" ht="13.5" thickTop="1"/>
  </sheetData>
  <sheetProtection sheet="1" objects="1" scenarios="1"/>
  <phoneticPr fontId="11" type="noConversion"/>
  <pageMargins left="0.39370078740157483" right="0" top="0.39370078740157483" bottom="0.39370078740157483" header="0.51181102362204722" footer="0.51181102362204722"/>
  <pageSetup paperSize="9" scale="80" orientation="portrait" horizontalDpi="4294967295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BA158"/>
  <sheetViews>
    <sheetView zoomScale="86" workbookViewId="0"/>
  </sheetViews>
  <sheetFormatPr baseColWidth="10" defaultRowHeight="12.75"/>
  <cols>
    <col min="1" max="1" width="15.7109375" style="24" customWidth="1"/>
    <col min="2" max="2" width="11.7109375" style="24" customWidth="1"/>
    <col min="3" max="3" width="20.7109375" style="24" customWidth="1"/>
    <col min="4" max="14" width="11.42578125" style="24"/>
    <col min="15" max="15" width="15.7109375" style="24" hidden="1" customWidth="1"/>
    <col min="16" max="16" width="11.7109375" style="24" hidden="1" customWidth="1"/>
    <col min="17" max="17" width="20.7109375" style="24" hidden="1" customWidth="1"/>
    <col min="18" max="52" width="11.42578125" style="24" hidden="1" customWidth="1"/>
    <col min="53" max="53" width="12" style="24" hidden="1" customWidth="1"/>
    <col min="54" max="16384" width="11.42578125" style="24"/>
  </cols>
  <sheetData>
    <row r="1" spans="1:1">
      <c r="A1" s="23" t="str">
        <f>"Statistik: Eigenkapitalentwicklung Januar "&amp;('Kat. I'!A2+1)-$B$47&amp; " bis Dezember "&amp;'Kat. I'!A2</f>
        <v xml:space="preserve">Statistik: Eigenkapitalentwicklung Januar 0 bis Dezember </v>
      </c>
    </row>
    <row r="44" spans="1:53">
      <c r="A44" s="150" t="s">
        <v>128</v>
      </c>
    </row>
    <row r="47" spans="1:53">
      <c r="A47" s="24" t="s">
        <v>54</v>
      </c>
      <c r="B47" s="24">
        <v>1</v>
      </c>
      <c r="C47" s="24" t="s">
        <v>34</v>
      </c>
      <c r="O47" s="24" t="s">
        <v>54</v>
      </c>
      <c r="P47" s="24">
        <v>1</v>
      </c>
      <c r="Q47" s="24" t="s">
        <v>34</v>
      </c>
      <c r="S47" s="24" t="s">
        <v>54</v>
      </c>
      <c r="T47" s="24">
        <v>2</v>
      </c>
      <c r="U47" s="24" t="s">
        <v>55</v>
      </c>
      <c r="W47" s="24" t="s">
        <v>54</v>
      </c>
      <c r="X47" s="24">
        <v>3</v>
      </c>
      <c r="Y47" s="24" t="s">
        <v>55</v>
      </c>
      <c r="AA47" s="24" t="s">
        <v>54</v>
      </c>
      <c r="AB47" s="24">
        <v>4</v>
      </c>
      <c r="AC47" s="24" t="s">
        <v>55</v>
      </c>
      <c r="AE47" s="24" t="s">
        <v>54</v>
      </c>
      <c r="AF47" s="24">
        <v>5</v>
      </c>
      <c r="AG47" s="24" t="s">
        <v>55</v>
      </c>
      <c r="AI47" s="24" t="s">
        <v>54</v>
      </c>
      <c r="AJ47" s="24">
        <v>6</v>
      </c>
      <c r="AK47" s="24" t="s">
        <v>55</v>
      </c>
      <c r="AM47" s="24" t="s">
        <v>54</v>
      </c>
      <c r="AN47" s="24">
        <v>7</v>
      </c>
      <c r="AO47" s="24" t="s">
        <v>55</v>
      </c>
      <c r="AQ47" s="24" t="s">
        <v>54</v>
      </c>
      <c r="AR47" s="24">
        <v>8</v>
      </c>
      <c r="AS47" s="24" t="s">
        <v>55</v>
      </c>
      <c r="AU47" s="24" t="s">
        <v>54</v>
      </c>
      <c r="AV47" s="24">
        <v>9</v>
      </c>
      <c r="AW47" s="24" t="s">
        <v>55</v>
      </c>
      <c r="AY47" s="24" t="s">
        <v>54</v>
      </c>
      <c r="AZ47" s="24">
        <v>10</v>
      </c>
      <c r="BA47" s="24" t="s">
        <v>55</v>
      </c>
    </row>
    <row r="48" spans="1:53">
      <c r="A48" s="25" t="s">
        <v>56</v>
      </c>
      <c r="C48" s="26" t="str">
        <f>"Vermögensstand in "&amp;'Kat. I'!$D$6</f>
        <v>Vermögensstand in CHF</v>
      </c>
      <c r="O48" s="25" t="s">
        <v>56</v>
      </c>
      <c r="Q48" s="26" t="str">
        <f>"Vermögensstand in "&amp;'Kat. I'!$D$6</f>
        <v>Vermögensstand in CHF</v>
      </c>
      <c r="S48" s="25" t="s">
        <v>56</v>
      </c>
      <c r="U48" s="26" t="str">
        <f>"Vermögensstand in "&amp;'Kat. I'!$D$6</f>
        <v>Vermögensstand in CHF</v>
      </c>
      <c r="W48" s="25" t="s">
        <v>56</v>
      </c>
      <c r="Y48" s="26" t="str">
        <f>"Vermögensstand in "&amp;'Kat. I'!$D$6</f>
        <v>Vermögensstand in CHF</v>
      </c>
      <c r="AA48" s="25" t="s">
        <v>56</v>
      </c>
      <c r="AC48" s="26" t="str">
        <f>"Vermögensstand in "&amp;'Kat. I'!$D$6</f>
        <v>Vermögensstand in CHF</v>
      </c>
      <c r="AE48" s="25" t="s">
        <v>56</v>
      </c>
      <c r="AG48" s="26" t="str">
        <f>"Vermögensstand in "&amp;'Kat. I'!$D$6</f>
        <v>Vermögensstand in CHF</v>
      </c>
      <c r="AI48" s="25" t="s">
        <v>56</v>
      </c>
      <c r="AK48" s="26" t="str">
        <f>"Vermögensstand in "&amp;'Kat. I'!$D$6</f>
        <v>Vermögensstand in CHF</v>
      </c>
      <c r="AM48" s="25" t="s">
        <v>56</v>
      </c>
      <c r="AO48" s="26" t="str">
        <f>"Vermögensstand in "&amp;'Kat. I'!$D$6</f>
        <v>Vermögensstand in CHF</v>
      </c>
      <c r="AQ48" s="25" t="s">
        <v>56</v>
      </c>
      <c r="AS48" s="26" t="str">
        <f>"Vermögensstand in "&amp;'Kat. I'!$D$6</f>
        <v>Vermögensstand in CHF</v>
      </c>
      <c r="AU48" s="25" t="s">
        <v>56</v>
      </c>
      <c r="AW48" s="26" t="str">
        <f>"Vermögensstand in "&amp;'Kat. I'!$D$6</f>
        <v>Vermögensstand in CHF</v>
      </c>
      <c r="AY48" s="25" t="s">
        <v>56</v>
      </c>
      <c r="BA48" s="26" t="str">
        <f>"Vermögensstand in "&amp;'Kat. I'!$D$6</f>
        <v>Vermögensstand in CHF</v>
      </c>
    </row>
    <row r="50" spans="1:53">
      <c r="A50" s="27" t="s">
        <v>57</v>
      </c>
      <c r="B50" s="28" t="str">
        <f>"1.Jan. "&amp;RIGHT('Kat. I'!$A$2,2)</f>
        <v xml:space="preserve">1.Jan. </v>
      </c>
      <c r="C50" s="29">
        <f>Jan.!$A$6</f>
        <v>2000</v>
      </c>
      <c r="D50" s="29">
        <f>Jan.!$A$6</f>
        <v>2000</v>
      </c>
      <c r="O50" s="27" t="s">
        <v>57</v>
      </c>
      <c r="P50" s="28" t="str">
        <f>"1.Jan. "&amp;RIGHT('Kat. I'!$A$2,2)</f>
        <v xml:space="preserve">1.Jan. </v>
      </c>
      <c r="Q50" s="29">
        <f>Jan.!$A$6</f>
        <v>2000</v>
      </c>
      <c r="R50" s="29">
        <f>Jan.!$A$6</f>
        <v>2000</v>
      </c>
      <c r="S50" s="27" t="s">
        <v>57</v>
      </c>
      <c r="T50" s="30" t="str">
        <f>"1.Jan. "&amp;RIGHT('Kat. I'!$A$2-1,2)</f>
        <v>1.Jan. -1</v>
      </c>
      <c r="U50" s="31"/>
      <c r="W50" s="27" t="s">
        <v>57</v>
      </c>
      <c r="X50" s="30" t="str">
        <f>"1.Jan. "&amp;RIGHT('Kat. I'!$A$2-2,2)</f>
        <v>1.Jan. -2</v>
      </c>
      <c r="Y50" s="31"/>
      <c r="AA50" s="27" t="s">
        <v>57</v>
      </c>
      <c r="AB50" s="30" t="str">
        <f>"1.Jan. "&amp;RIGHT('Kat. I'!$A$2-3,2)</f>
        <v>1.Jan. -3</v>
      </c>
      <c r="AC50" s="31"/>
      <c r="AE50" s="27" t="s">
        <v>57</v>
      </c>
      <c r="AF50" s="30" t="str">
        <f>"1.Jan. "&amp;RIGHT('Kat. I'!$A$2-4,2)</f>
        <v>1.Jan. -4</v>
      </c>
      <c r="AG50" s="31"/>
      <c r="AI50" s="27" t="s">
        <v>57</v>
      </c>
      <c r="AJ50" s="30" t="str">
        <f>"1.Jan. "&amp;RIGHT('Kat. I'!$A$2-5,2)</f>
        <v>1.Jan. -5</v>
      </c>
      <c r="AK50" s="31"/>
      <c r="AM50" s="27" t="s">
        <v>57</v>
      </c>
      <c r="AN50" s="30" t="str">
        <f>"1.Jan. "&amp;RIGHT('Kat. I'!$A$2-6,2)</f>
        <v>1.Jan. -6</v>
      </c>
      <c r="AO50" s="31"/>
      <c r="AQ50" s="27" t="s">
        <v>57</v>
      </c>
      <c r="AR50" s="30" t="str">
        <f>"1.Jan. "&amp;RIGHT('Kat. I'!$A$2-7,2)</f>
        <v>1.Jan. -7</v>
      </c>
      <c r="AS50" s="31"/>
      <c r="AU50" s="27" t="s">
        <v>57</v>
      </c>
      <c r="AV50" s="30" t="str">
        <f>"1.Jan. "&amp;RIGHT('Kat. I'!$A$2-8,2)</f>
        <v>1.Jan. -8</v>
      </c>
      <c r="AW50" s="31"/>
      <c r="AY50" s="27" t="s">
        <v>57</v>
      </c>
      <c r="AZ50" s="30" t="str">
        <f>"1.Jan. "&amp;RIGHT('Kat. I'!$A$2-9,2)</f>
        <v>1.Jan. -9</v>
      </c>
      <c r="BA50" s="31"/>
    </row>
    <row r="51" spans="1:53">
      <c r="A51" s="27" t="s">
        <v>58</v>
      </c>
      <c r="B51" s="28" t="str">
        <f>"Jan. "&amp;RIGHT('Kat. I'!$A$2,2)</f>
        <v xml:space="preserve">Jan. </v>
      </c>
      <c r="C51" s="29">
        <f>Jan.!$A$7</f>
        <v>1490.75</v>
      </c>
      <c r="D51" s="29">
        <f>Jan.!$A$7</f>
        <v>1490.75</v>
      </c>
      <c r="O51" s="27" t="s">
        <v>58</v>
      </c>
      <c r="P51" s="28" t="str">
        <f>"Jan. "&amp;RIGHT('Kat. I'!$A$2,2)</f>
        <v xml:space="preserve">Jan. </v>
      </c>
      <c r="Q51" s="29">
        <f>Jan.!$A$7</f>
        <v>1490.75</v>
      </c>
      <c r="R51" s="29">
        <f>Jan.!$A$7</f>
        <v>1490.75</v>
      </c>
      <c r="S51" s="27" t="s">
        <v>58</v>
      </c>
      <c r="T51" s="30" t="str">
        <f>"Jan. "&amp;RIGHT('Kat. I'!$A$2-1,2)</f>
        <v>Jan. -1</v>
      </c>
      <c r="U51" s="31"/>
      <c r="W51" s="27" t="s">
        <v>58</v>
      </c>
      <c r="X51" s="30" t="str">
        <f>"Jan. "&amp;RIGHT('Kat. I'!$A$2-2,2)</f>
        <v>Jan. -2</v>
      </c>
      <c r="Y51" s="31"/>
      <c r="AA51" s="27" t="s">
        <v>58</v>
      </c>
      <c r="AB51" s="30" t="str">
        <f>"Jan. "&amp;RIGHT('Kat. I'!$A$2-3,2)</f>
        <v>Jan. -3</v>
      </c>
      <c r="AC51" s="31"/>
      <c r="AE51" s="27" t="s">
        <v>58</v>
      </c>
      <c r="AF51" s="30" t="str">
        <f>"Jan. "&amp;RIGHT('Kat. I'!$A$2-4,2)</f>
        <v>Jan. -4</v>
      </c>
      <c r="AG51" s="31"/>
      <c r="AI51" s="27" t="s">
        <v>58</v>
      </c>
      <c r="AJ51" s="30" t="str">
        <f>"Jan. "&amp;RIGHT('Kat. I'!$A$2-5,2)</f>
        <v>Jan. -5</v>
      </c>
      <c r="AK51" s="31"/>
      <c r="AM51" s="27" t="s">
        <v>58</v>
      </c>
      <c r="AN51" s="30" t="str">
        <f>"Jan. "&amp;RIGHT('Kat. I'!$A$2-6,2)</f>
        <v>Jan. -6</v>
      </c>
      <c r="AO51" s="31"/>
      <c r="AQ51" s="27" t="s">
        <v>58</v>
      </c>
      <c r="AR51" s="30" t="str">
        <f>"Jan. "&amp;RIGHT('Kat. I'!$A$2-7,2)</f>
        <v>Jan. -7</v>
      </c>
      <c r="AS51" s="31"/>
      <c r="AU51" s="27" t="s">
        <v>58</v>
      </c>
      <c r="AV51" s="30" t="str">
        <f>"Jan. "&amp;RIGHT('Kat. I'!$A$2-8,2)</f>
        <v>Jan. -8</v>
      </c>
      <c r="AW51" s="31"/>
      <c r="AY51" s="27" t="s">
        <v>58</v>
      </c>
      <c r="AZ51" s="30" t="str">
        <f>"Jan. "&amp;RIGHT('Kat. I'!$A$2-9,2)</f>
        <v>Jan. -9</v>
      </c>
      <c r="BA51" s="31"/>
    </row>
    <row r="52" spans="1:53">
      <c r="A52" s="27" t="s">
        <v>58</v>
      </c>
      <c r="B52" s="28" t="str">
        <f>"Feb. "&amp;RIGHT('Kat. I'!$A$2,2)</f>
        <v xml:space="preserve">Feb. </v>
      </c>
      <c r="C52" s="29"/>
      <c r="D52" s="29">
        <f>Feb.!$A$7</f>
        <v>1490.75</v>
      </c>
      <c r="O52" s="27" t="s">
        <v>58</v>
      </c>
      <c r="P52" s="28" t="str">
        <f>"Feb. "&amp;RIGHT('Kat. I'!$A$2,2)</f>
        <v xml:space="preserve">Feb. </v>
      </c>
      <c r="Q52" s="29">
        <f>Feb.!$A$7</f>
        <v>1490.75</v>
      </c>
      <c r="R52" s="29">
        <f>Feb.!$A$7</f>
        <v>1490.75</v>
      </c>
      <c r="S52" s="27" t="s">
        <v>58</v>
      </c>
      <c r="T52" s="30" t="str">
        <f>"Feb. "&amp;RIGHT('Kat. I'!$A$2-1,2)</f>
        <v>Feb. -1</v>
      </c>
      <c r="U52" s="31"/>
      <c r="W52" s="27" t="s">
        <v>58</v>
      </c>
      <c r="X52" s="30" t="str">
        <f>"Feb. "&amp;RIGHT('Kat. I'!$A$2-2,2)</f>
        <v>Feb. -2</v>
      </c>
      <c r="Y52" s="31"/>
      <c r="AA52" s="27" t="s">
        <v>58</v>
      </c>
      <c r="AB52" s="30" t="str">
        <f>"Feb. "&amp;RIGHT('Kat. I'!$A$2-3,2)</f>
        <v>Feb. -3</v>
      </c>
      <c r="AC52" s="31"/>
      <c r="AE52" s="27" t="s">
        <v>58</v>
      </c>
      <c r="AF52" s="30" t="str">
        <f>"Feb. "&amp;RIGHT('Kat. I'!$A$2-4,2)</f>
        <v>Feb. -4</v>
      </c>
      <c r="AG52" s="31"/>
      <c r="AI52" s="27" t="s">
        <v>58</v>
      </c>
      <c r="AJ52" s="30" t="str">
        <f>"Feb. "&amp;RIGHT('Kat. I'!$A$2-5,2)</f>
        <v>Feb. -5</v>
      </c>
      <c r="AK52" s="31"/>
      <c r="AM52" s="27" t="s">
        <v>58</v>
      </c>
      <c r="AN52" s="30" t="str">
        <f>"Feb. "&amp;RIGHT('Kat. I'!$A$2-6,2)</f>
        <v>Feb. -6</v>
      </c>
      <c r="AO52" s="31"/>
      <c r="AQ52" s="27" t="s">
        <v>58</v>
      </c>
      <c r="AR52" s="30" t="str">
        <f>"Feb. "&amp;RIGHT('Kat. I'!$A$2-7,2)</f>
        <v>Feb. -7</v>
      </c>
      <c r="AS52" s="31"/>
      <c r="AU52" s="27" t="s">
        <v>58</v>
      </c>
      <c r="AV52" s="30" t="str">
        <f>"Feb. "&amp;RIGHT('Kat. I'!$A$2-8,2)</f>
        <v>Feb. -8</v>
      </c>
      <c r="AW52" s="31"/>
      <c r="AY52" s="27" t="s">
        <v>58</v>
      </c>
      <c r="AZ52" s="30" t="str">
        <f>"Feb. "&amp;RIGHT('Kat. I'!$A$2-9,2)</f>
        <v>Feb. -9</v>
      </c>
      <c r="BA52" s="31"/>
    </row>
    <row r="53" spans="1:53">
      <c r="A53" s="27" t="s">
        <v>58</v>
      </c>
      <c r="B53" s="28" t="str">
        <f>"März "&amp;RIGHT('Kat. I'!$A$2,2)</f>
        <v xml:space="preserve">März </v>
      </c>
      <c r="C53" s="29"/>
      <c r="D53" s="29">
        <f>März!$A$7</f>
        <v>1490.75</v>
      </c>
      <c r="O53" s="27" t="s">
        <v>58</v>
      </c>
      <c r="P53" s="28" t="str">
        <f>"März "&amp;RIGHT('Kat. I'!$A$2,2)</f>
        <v xml:space="preserve">März </v>
      </c>
      <c r="Q53" s="29">
        <f>März!$A$7</f>
        <v>1490.75</v>
      </c>
      <c r="R53" s="29">
        <f>März!$A$7</f>
        <v>1490.75</v>
      </c>
      <c r="S53" s="27" t="s">
        <v>58</v>
      </c>
      <c r="T53" s="30" t="str">
        <f>"März "&amp;RIGHT('Kat. I'!$A$2-1,2)</f>
        <v>März -1</v>
      </c>
      <c r="U53" s="31"/>
      <c r="W53" s="27" t="s">
        <v>58</v>
      </c>
      <c r="X53" s="30" t="str">
        <f>"März "&amp;RIGHT('Kat. I'!$A$2-2,2)</f>
        <v>März -2</v>
      </c>
      <c r="Y53" s="31"/>
      <c r="AA53" s="27" t="s">
        <v>58</v>
      </c>
      <c r="AB53" s="30" t="str">
        <f>"März "&amp;RIGHT('Kat. I'!$A$2-3,2)</f>
        <v>März -3</v>
      </c>
      <c r="AC53" s="31"/>
      <c r="AE53" s="27" t="s">
        <v>58</v>
      </c>
      <c r="AF53" s="30" t="str">
        <f>"März "&amp;RIGHT('Kat. I'!$A$2-4,2)</f>
        <v>März -4</v>
      </c>
      <c r="AG53" s="31"/>
      <c r="AI53" s="27" t="s">
        <v>58</v>
      </c>
      <c r="AJ53" s="30" t="str">
        <f>"März "&amp;RIGHT('Kat. I'!$A$2-5,2)</f>
        <v>März -5</v>
      </c>
      <c r="AK53" s="31"/>
      <c r="AM53" s="27" t="s">
        <v>58</v>
      </c>
      <c r="AN53" s="30" t="str">
        <f>"März "&amp;RIGHT('Kat. I'!$A$2-6,2)</f>
        <v>März -6</v>
      </c>
      <c r="AO53" s="31"/>
      <c r="AQ53" s="27" t="s">
        <v>58</v>
      </c>
      <c r="AR53" s="30" t="str">
        <f>"März "&amp;RIGHT('Kat. I'!$A$2-7,2)</f>
        <v>März -7</v>
      </c>
      <c r="AS53" s="31"/>
      <c r="AU53" s="27" t="s">
        <v>58</v>
      </c>
      <c r="AV53" s="30" t="str">
        <f>"März "&amp;RIGHT('Kat. I'!$A$2-8,2)</f>
        <v>März -8</v>
      </c>
      <c r="AW53" s="31"/>
      <c r="AY53" s="27" t="s">
        <v>58</v>
      </c>
      <c r="AZ53" s="30" t="str">
        <f>"März "&amp;RIGHT('Kat. I'!$A$2-9,2)</f>
        <v>März -9</v>
      </c>
      <c r="BA53" s="31"/>
    </row>
    <row r="54" spans="1:53">
      <c r="A54" s="27" t="s">
        <v>58</v>
      </c>
      <c r="B54" s="28" t="str">
        <f>"April "&amp;RIGHT('Kat. I'!$A$2,2)</f>
        <v xml:space="preserve">April </v>
      </c>
      <c r="C54" s="29"/>
      <c r="D54" s="29">
        <f>April!$A$7</f>
        <v>1490.75</v>
      </c>
      <c r="O54" s="27" t="s">
        <v>58</v>
      </c>
      <c r="P54" s="28" t="str">
        <f>"April "&amp;RIGHT('Kat. I'!$A$2,2)</f>
        <v xml:space="preserve">April </v>
      </c>
      <c r="Q54" s="29">
        <f>April!$A$7</f>
        <v>1490.75</v>
      </c>
      <c r="R54" s="29">
        <f>April!$A$7</f>
        <v>1490.75</v>
      </c>
      <c r="S54" s="27" t="s">
        <v>58</v>
      </c>
      <c r="T54" s="30" t="str">
        <f>"April "&amp;RIGHT('Kat. I'!$A$2-1,2)</f>
        <v>April -1</v>
      </c>
      <c r="U54" s="31"/>
      <c r="W54" s="27" t="s">
        <v>58</v>
      </c>
      <c r="X54" s="30" t="str">
        <f>"April "&amp;RIGHT('Kat. I'!$A$2-2,2)</f>
        <v>April -2</v>
      </c>
      <c r="Y54" s="31"/>
      <c r="AA54" s="27" t="s">
        <v>58</v>
      </c>
      <c r="AB54" s="30" t="str">
        <f>"April "&amp;RIGHT('Kat. I'!$A$2-3,2)</f>
        <v>April -3</v>
      </c>
      <c r="AC54" s="31"/>
      <c r="AE54" s="27" t="s">
        <v>58</v>
      </c>
      <c r="AF54" s="30" t="str">
        <f>"April "&amp;RIGHT('Kat. I'!$A$2-4,2)</f>
        <v>April -4</v>
      </c>
      <c r="AG54" s="31"/>
      <c r="AI54" s="27" t="s">
        <v>58</v>
      </c>
      <c r="AJ54" s="30" t="str">
        <f>"April "&amp;RIGHT('Kat. I'!$A$2-5,2)</f>
        <v>April -5</v>
      </c>
      <c r="AK54" s="31"/>
      <c r="AM54" s="27" t="s">
        <v>58</v>
      </c>
      <c r="AN54" s="30" t="str">
        <f>"April "&amp;RIGHT('Kat. I'!$A$2-6,2)</f>
        <v>April -6</v>
      </c>
      <c r="AO54" s="31"/>
      <c r="AQ54" s="27" t="s">
        <v>58</v>
      </c>
      <c r="AR54" s="30" t="str">
        <f>"April "&amp;RIGHT('Kat. I'!$A$2-7,2)</f>
        <v>April -7</v>
      </c>
      <c r="AS54" s="31"/>
      <c r="AU54" s="27" t="s">
        <v>58</v>
      </c>
      <c r="AV54" s="30" t="str">
        <f>"April "&amp;RIGHT('Kat. I'!$A$2-8,2)</f>
        <v>April -8</v>
      </c>
      <c r="AW54" s="31"/>
      <c r="AY54" s="27" t="s">
        <v>58</v>
      </c>
      <c r="AZ54" s="30" t="str">
        <f>"April "&amp;RIGHT('Kat. I'!$A$2-9,2)</f>
        <v>April -9</v>
      </c>
      <c r="BA54" s="31"/>
    </row>
    <row r="55" spans="1:53">
      <c r="A55" s="27" t="s">
        <v>58</v>
      </c>
      <c r="B55" s="28" t="str">
        <f>"Mai "&amp;RIGHT('Kat. I'!$A$2,2)</f>
        <v xml:space="preserve">Mai </v>
      </c>
      <c r="C55" s="29"/>
      <c r="D55" s="29">
        <f>Mai!$A$7</f>
        <v>1490.75</v>
      </c>
      <c r="O55" s="27" t="s">
        <v>58</v>
      </c>
      <c r="P55" s="28" t="str">
        <f>"Mai "&amp;RIGHT('Kat. I'!$A$2,2)</f>
        <v xml:space="preserve">Mai </v>
      </c>
      <c r="Q55" s="29">
        <f>Mai!$A$7</f>
        <v>1490.75</v>
      </c>
      <c r="R55" s="29">
        <f>Mai!$A$7</f>
        <v>1490.75</v>
      </c>
      <c r="S55" s="27" t="s">
        <v>58</v>
      </c>
      <c r="T55" s="30" t="str">
        <f>"Mai "&amp;RIGHT('Kat. I'!$A$2-1,2)</f>
        <v>Mai -1</v>
      </c>
      <c r="U55" s="31"/>
      <c r="W55" s="27" t="s">
        <v>58</v>
      </c>
      <c r="X55" s="30" t="str">
        <f>"Mai "&amp;RIGHT('Kat. I'!$A$2-2,2)</f>
        <v>Mai -2</v>
      </c>
      <c r="Y55" s="31"/>
      <c r="AA55" s="27" t="s">
        <v>58</v>
      </c>
      <c r="AB55" s="30" t="str">
        <f>"Mai "&amp;RIGHT('Kat. I'!$A$2-3,2)</f>
        <v>Mai -3</v>
      </c>
      <c r="AC55" s="31"/>
      <c r="AE55" s="27" t="s">
        <v>58</v>
      </c>
      <c r="AF55" s="30" t="str">
        <f>"Mai "&amp;RIGHT('Kat. I'!$A$2-4,2)</f>
        <v>Mai -4</v>
      </c>
      <c r="AG55" s="31"/>
      <c r="AI55" s="27" t="s">
        <v>58</v>
      </c>
      <c r="AJ55" s="30" t="str">
        <f>"Mai "&amp;RIGHT('Kat. I'!$A$2-5,2)</f>
        <v>Mai -5</v>
      </c>
      <c r="AK55" s="31"/>
      <c r="AM55" s="27" t="s">
        <v>58</v>
      </c>
      <c r="AN55" s="30" t="str">
        <f>"Mai "&amp;RIGHT('Kat. I'!$A$2-6,2)</f>
        <v>Mai -6</v>
      </c>
      <c r="AO55" s="31"/>
      <c r="AQ55" s="27" t="s">
        <v>58</v>
      </c>
      <c r="AR55" s="30" t="str">
        <f>"Mai "&amp;RIGHT('Kat. I'!$A$2-7,2)</f>
        <v>Mai -7</v>
      </c>
      <c r="AS55" s="31"/>
      <c r="AU55" s="27" t="s">
        <v>58</v>
      </c>
      <c r="AV55" s="30" t="str">
        <f>"Mai "&amp;RIGHT('Kat. I'!$A$2-8,2)</f>
        <v>Mai -8</v>
      </c>
      <c r="AW55" s="31"/>
      <c r="AY55" s="27" t="s">
        <v>58</v>
      </c>
      <c r="AZ55" s="30" t="str">
        <f>"Mai "&amp;RIGHT('Kat. I'!$A$2-9,2)</f>
        <v>Mai -9</v>
      </c>
      <c r="BA55" s="31"/>
    </row>
    <row r="56" spans="1:53">
      <c r="A56" s="27" t="s">
        <v>58</v>
      </c>
      <c r="B56" s="28" t="str">
        <f>"Juni "&amp;RIGHT('Kat. I'!$A$2,2)</f>
        <v xml:space="preserve">Juni </v>
      </c>
      <c r="C56" s="29"/>
      <c r="D56" s="29">
        <f>Juni!$A$7</f>
        <v>1490.75</v>
      </c>
      <c r="O56" s="27" t="s">
        <v>58</v>
      </c>
      <c r="P56" s="28" t="str">
        <f>"Juni "&amp;RIGHT('Kat. I'!$A$2,2)</f>
        <v xml:space="preserve">Juni </v>
      </c>
      <c r="Q56" s="29">
        <f>Juni!$A$7</f>
        <v>1490.75</v>
      </c>
      <c r="R56" s="29">
        <f>Juni!$A$7</f>
        <v>1490.75</v>
      </c>
      <c r="S56" s="27" t="s">
        <v>58</v>
      </c>
      <c r="T56" s="30" t="str">
        <f>"Juni "&amp;RIGHT('Kat. I'!$A$2-1,2)</f>
        <v>Juni -1</v>
      </c>
      <c r="U56" s="31"/>
      <c r="W56" s="27" t="s">
        <v>58</v>
      </c>
      <c r="X56" s="30" t="str">
        <f>"Juni "&amp;RIGHT('Kat. I'!$A$2-2,2)</f>
        <v>Juni -2</v>
      </c>
      <c r="Y56" s="31"/>
      <c r="AA56" s="27" t="s">
        <v>58</v>
      </c>
      <c r="AB56" s="30" t="str">
        <f>"Juni "&amp;RIGHT('Kat. I'!$A$2-3,2)</f>
        <v>Juni -3</v>
      </c>
      <c r="AC56" s="31"/>
      <c r="AE56" s="27" t="s">
        <v>58</v>
      </c>
      <c r="AF56" s="30" t="str">
        <f>"Juni "&amp;RIGHT('Kat. I'!$A$2-4,2)</f>
        <v>Juni -4</v>
      </c>
      <c r="AG56" s="31"/>
      <c r="AI56" s="27" t="s">
        <v>58</v>
      </c>
      <c r="AJ56" s="30" t="str">
        <f>"Juni "&amp;RIGHT('Kat. I'!$A$2-5,2)</f>
        <v>Juni -5</v>
      </c>
      <c r="AK56" s="31"/>
      <c r="AM56" s="27" t="s">
        <v>58</v>
      </c>
      <c r="AN56" s="30" t="str">
        <f>"Juni "&amp;RIGHT('Kat. I'!$A$2-6,2)</f>
        <v>Juni -6</v>
      </c>
      <c r="AO56" s="31"/>
      <c r="AQ56" s="27" t="s">
        <v>58</v>
      </c>
      <c r="AR56" s="30" t="str">
        <f>"Juni "&amp;RIGHT('Kat. I'!$A$2-7,2)</f>
        <v>Juni -7</v>
      </c>
      <c r="AS56" s="31"/>
      <c r="AU56" s="27" t="s">
        <v>58</v>
      </c>
      <c r="AV56" s="30" t="str">
        <f>"Juni "&amp;RIGHT('Kat. I'!$A$2-8,2)</f>
        <v>Juni -8</v>
      </c>
      <c r="AW56" s="31"/>
      <c r="AY56" s="27" t="s">
        <v>58</v>
      </c>
      <c r="AZ56" s="30" t="str">
        <f>"Juni "&amp;RIGHT('Kat. I'!$A$2-9,2)</f>
        <v>Juni -9</v>
      </c>
      <c r="BA56" s="31"/>
    </row>
    <row r="57" spans="1:53">
      <c r="A57" s="27" t="s">
        <v>58</v>
      </c>
      <c r="B57" s="28" t="str">
        <f>"Juli "&amp;RIGHT('Kat. I'!$A$2,2)</f>
        <v xml:space="preserve">Juli </v>
      </c>
      <c r="C57" s="29"/>
      <c r="D57" s="29">
        <f>Juli!$A$7</f>
        <v>1490.75</v>
      </c>
      <c r="O57" s="27" t="s">
        <v>58</v>
      </c>
      <c r="P57" s="28" t="str">
        <f>"Juli "&amp;RIGHT('Kat. I'!$A$2,2)</f>
        <v xml:space="preserve">Juli </v>
      </c>
      <c r="Q57" s="29">
        <f>Juli!$A$7</f>
        <v>1490.75</v>
      </c>
      <c r="R57" s="29">
        <f>Juli!$A$7</f>
        <v>1490.75</v>
      </c>
      <c r="S57" s="27" t="s">
        <v>58</v>
      </c>
      <c r="T57" s="30" t="str">
        <f>"Juli "&amp;RIGHT('Kat. I'!$A$2-1,2)</f>
        <v>Juli -1</v>
      </c>
      <c r="U57" s="31"/>
      <c r="W57" s="27" t="s">
        <v>58</v>
      </c>
      <c r="X57" s="30" t="str">
        <f>"Juli "&amp;RIGHT('Kat. I'!$A$2-2,2)</f>
        <v>Juli -2</v>
      </c>
      <c r="Y57" s="31"/>
      <c r="AA57" s="27" t="s">
        <v>58</v>
      </c>
      <c r="AB57" s="30" t="str">
        <f>"Juli "&amp;RIGHT('Kat. I'!$A$2-3,2)</f>
        <v>Juli -3</v>
      </c>
      <c r="AC57" s="31"/>
      <c r="AE57" s="27" t="s">
        <v>58</v>
      </c>
      <c r="AF57" s="30" t="str">
        <f>"Juli "&amp;RIGHT('Kat. I'!$A$2-4,2)</f>
        <v>Juli -4</v>
      </c>
      <c r="AG57" s="31"/>
      <c r="AI57" s="27" t="s">
        <v>58</v>
      </c>
      <c r="AJ57" s="30" t="str">
        <f>"Juli "&amp;RIGHT('Kat. I'!$A$2-5,2)</f>
        <v>Juli -5</v>
      </c>
      <c r="AK57" s="31"/>
      <c r="AM57" s="27" t="s">
        <v>58</v>
      </c>
      <c r="AN57" s="30" t="str">
        <f>"Juli "&amp;RIGHT('Kat. I'!$A$2-6,2)</f>
        <v>Juli -6</v>
      </c>
      <c r="AO57" s="31"/>
      <c r="AQ57" s="27" t="s">
        <v>58</v>
      </c>
      <c r="AR57" s="30" t="str">
        <f>"Juli "&amp;RIGHT('Kat. I'!$A$2-7,2)</f>
        <v>Juli -7</v>
      </c>
      <c r="AS57" s="31"/>
      <c r="AU57" s="27" t="s">
        <v>58</v>
      </c>
      <c r="AV57" s="30" t="str">
        <f>"Juli "&amp;RIGHT('Kat. I'!$A$2-8,2)</f>
        <v>Juli -8</v>
      </c>
      <c r="AW57" s="31"/>
      <c r="AY57" s="27" t="s">
        <v>58</v>
      </c>
      <c r="AZ57" s="30" t="str">
        <f>"Juli "&amp;RIGHT('Kat. I'!$A$2-9,2)</f>
        <v>Juli -9</v>
      </c>
      <c r="BA57" s="31"/>
    </row>
    <row r="58" spans="1:53">
      <c r="A58" s="27" t="s">
        <v>58</v>
      </c>
      <c r="B58" s="28" t="str">
        <f>"Aug. "&amp;RIGHT('Kat. I'!$A$2,2)</f>
        <v xml:space="preserve">Aug. </v>
      </c>
      <c r="C58" s="29"/>
      <c r="D58" s="29">
        <f>Aug.!$A$7</f>
        <v>1490.75</v>
      </c>
      <c r="O58" s="27" t="s">
        <v>58</v>
      </c>
      <c r="P58" s="28" t="str">
        <f>"Aug. "&amp;RIGHT('Kat. I'!$A$2,2)</f>
        <v xml:space="preserve">Aug. </v>
      </c>
      <c r="Q58" s="29">
        <f>Aug.!$A$7</f>
        <v>1490.75</v>
      </c>
      <c r="R58" s="29">
        <f>Aug.!$A$7</f>
        <v>1490.75</v>
      </c>
      <c r="S58" s="27" t="s">
        <v>58</v>
      </c>
      <c r="T58" s="30" t="str">
        <f>"Aug. "&amp;RIGHT('Kat. I'!$A$2-1,2)</f>
        <v>Aug. -1</v>
      </c>
      <c r="U58" s="31"/>
      <c r="W58" s="27" t="s">
        <v>58</v>
      </c>
      <c r="X58" s="30" t="str">
        <f>"Aug. "&amp;RIGHT('Kat. I'!$A$2-2,2)</f>
        <v>Aug. -2</v>
      </c>
      <c r="Y58" s="31"/>
      <c r="AA58" s="27" t="s">
        <v>58</v>
      </c>
      <c r="AB58" s="30" t="str">
        <f>"Aug. "&amp;RIGHT('Kat. I'!$A$2-3,2)</f>
        <v>Aug. -3</v>
      </c>
      <c r="AC58" s="31"/>
      <c r="AE58" s="27" t="s">
        <v>58</v>
      </c>
      <c r="AF58" s="30" t="str">
        <f>"Aug. "&amp;RIGHT('Kat. I'!$A$2-4,2)</f>
        <v>Aug. -4</v>
      </c>
      <c r="AG58" s="31"/>
      <c r="AI58" s="27" t="s">
        <v>58</v>
      </c>
      <c r="AJ58" s="30" t="str">
        <f>"Aug. "&amp;RIGHT('Kat. I'!$A$2-5,2)</f>
        <v>Aug. -5</v>
      </c>
      <c r="AK58" s="31"/>
      <c r="AM58" s="27" t="s">
        <v>58</v>
      </c>
      <c r="AN58" s="30" t="str">
        <f>"Aug. "&amp;RIGHT('Kat. I'!$A$2-6,2)</f>
        <v>Aug. -6</v>
      </c>
      <c r="AO58" s="31"/>
      <c r="AQ58" s="27" t="s">
        <v>58</v>
      </c>
      <c r="AR58" s="30" t="str">
        <f>"Aug. "&amp;RIGHT('Kat. I'!$A$2-7,2)</f>
        <v>Aug. -7</v>
      </c>
      <c r="AS58" s="31"/>
      <c r="AU58" s="27" t="s">
        <v>58</v>
      </c>
      <c r="AV58" s="30" t="str">
        <f>"Aug. "&amp;RIGHT('Kat. I'!$A$2-8,2)</f>
        <v>Aug. -8</v>
      </c>
      <c r="AW58" s="31"/>
      <c r="AY58" s="27" t="s">
        <v>58</v>
      </c>
      <c r="AZ58" s="30" t="str">
        <f>"Aug. "&amp;RIGHT('Kat. I'!$A$2-9,2)</f>
        <v>Aug. -9</v>
      </c>
      <c r="BA58" s="31"/>
    </row>
    <row r="59" spans="1:53">
      <c r="A59" s="27" t="s">
        <v>58</v>
      </c>
      <c r="B59" s="28" t="str">
        <f>"Sept. "&amp;RIGHT('Kat. I'!$A$2,2)</f>
        <v xml:space="preserve">Sept. </v>
      </c>
      <c r="C59" s="29"/>
      <c r="D59" s="29">
        <f>Sept.!$A$7</f>
        <v>1490.75</v>
      </c>
      <c r="O59" s="27" t="s">
        <v>58</v>
      </c>
      <c r="P59" s="28" t="str">
        <f>"Sept. "&amp;RIGHT('Kat. I'!$A$2,2)</f>
        <v xml:space="preserve">Sept. </v>
      </c>
      <c r="Q59" s="29">
        <f>Sept.!$A$7</f>
        <v>1490.75</v>
      </c>
      <c r="R59" s="29">
        <f>Sept.!$A$7</f>
        <v>1490.75</v>
      </c>
      <c r="S59" s="27" t="s">
        <v>58</v>
      </c>
      <c r="T59" s="30" t="str">
        <f>"Sept. "&amp;RIGHT('Kat. I'!$A$2-1,2)</f>
        <v>Sept. -1</v>
      </c>
      <c r="U59" s="31"/>
      <c r="W59" s="27" t="s">
        <v>58</v>
      </c>
      <c r="X59" s="30" t="str">
        <f>"Sept. "&amp;RIGHT('Kat. I'!$A$2-2,2)</f>
        <v>Sept. -2</v>
      </c>
      <c r="Y59" s="31"/>
      <c r="AA59" s="27" t="s">
        <v>58</v>
      </c>
      <c r="AB59" s="30" t="str">
        <f>"Sept. "&amp;RIGHT('Kat. I'!$A$2-3,2)</f>
        <v>Sept. -3</v>
      </c>
      <c r="AC59" s="31"/>
      <c r="AE59" s="27" t="s">
        <v>58</v>
      </c>
      <c r="AF59" s="30" t="str">
        <f>"Sept. "&amp;RIGHT('Kat. I'!$A$2-4,2)</f>
        <v>Sept. -4</v>
      </c>
      <c r="AG59" s="31"/>
      <c r="AI59" s="27" t="s">
        <v>58</v>
      </c>
      <c r="AJ59" s="30" t="str">
        <f>"Sept. "&amp;RIGHT('Kat. I'!$A$2-5,2)</f>
        <v>Sept. -5</v>
      </c>
      <c r="AK59" s="31"/>
      <c r="AM59" s="27" t="s">
        <v>58</v>
      </c>
      <c r="AN59" s="30" t="str">
        <f>"Sept. "&amp;RIGHT('Kat. I'!$A$2-6,2)</f>
        <v>Sept. -6</v>
      </c>
      <c r="AO59" s="31"/>
      <c r="AQ59" s="27" t="s">
        <v>58</v>
      </c>
      <c r="AR59" s="30" t="str">
        <f>"Sept. "&amp;RIGHT('Kat. I'!$A$2-7,2)</f>
        <v>Sept. -7</v>
      </c>
      <c r="AS59" s="31"/>
      <c r="AU59" s="27" t="s">
        <v>58</v>
      </c>
      <c r="AV59" s="30" t="str">
        <f>"Sept. "&amp;RIGHT('Kat. I'!$A$2-8,2)</f>
        <v>Sept. -8</v>
      </c>
      <c r="AW59" s="31"/>
      <c r="AY59" s="27" t="s">
        <v>58</v>
      </c>
      <c r="AZ59" s="30" t="str">
        <f>"Sept. "&amp;RIGHT('Kat. I'!$A$2-9,2)</f>
        <v>Sept. -9</v>
      </c>
      <c r="BA59" s="31"/>
    </row>
    <row r="60" spans="1:53">
      <c r="A60" s="27" t="s">
        <v>58</v>
      </c>
      <c r="B60" s="28" t="str">
        <f>"Okt. "&amp;RIGHT('Kat. I'!$A$2,2)</f>
        <v xml:space="preserve">Okt. </v>
      </c>
      <c r="C60" s="29"/>
      <c r="D60" s="29">
        <f>Okt.!$A$7</f>
        <v>1490.75</v>
      </c>
      <c r="O60" s="27" t="s">
        <v>58</v>
      </c>
      <c r="P60" s="28" t="str">
        <f>"Okt. "&amp;RIGHT('Kat. I'!$A$2,2)</f>
        <v xml:space="preserve">Okt. </v>
      </c>
      <c r="Q60" s="29">
        <f>Okt.!$A$7</f>
        <v>1490.75</v>
      </c>
      <c r="R60" s="29">
        <f>Okt.!$A$7</f>
        <v>1490.75</v>
      </c>
      <c r="S60" s="27" t="s">
        <v>58</v>
      </c>
      <c r="T60" s="30" t="str">
        <f>"Okt. "&amp;RIGHT('Kat. I'!$A$2-1,2)</f>
        <v>Okt. -1</v>
      </c>
      <c r="U60" s="31"/>
      <c r="W60" s="27" t="s">
        <v>58</v>
      </c>
      <c r="X60" s="30" t="str">
        <f>"Okt. "&amp;RIGHT('Kat. I'!$A$2-2,2)</f>
        <v>Okt. -2</v>
      </c>
      <c r="Y60" s="31"/>
      <c r="AA60" s="27" t="s">
        <v>58</v>
      </c>
      <c r="AB60" s="30" t="str">
        <f>"Okt. "&amp;RIGHT('Kat. I'!$A$2-3,2)</f>
        <v>Okt. -3</v>
      </c>
      <c r="AC60" s="31"/>
      <c r="AE60" s="27" t="s">
        <v>58</v>
      </c>
      <c r="AF60" s="30" t="str">
        <f>"Okt. "&amp;RIGHT('Kat. I'!$A$2-4,2)</f>
        <v>Okt. -4</v>
      </c>
      <c r="AG60" s="31"/>
      <c r="AI60" s="27" t="s">
        <v>58</v>
      </c>
      <c r="AJ60" s="30" t="str">
        <f>"Okt. "&amp;RIGHT('Kat. I'!$A$2-5,2)</f>
        <v>Okt. -5</v>
      </c>
      <c r="AK60" s="31"/>
      <c r="AM60" s="27" t="s">
        <v>58</v>
      </c>
      <c r="AN60" s="30" t="str">
        <f>"Okt. "&amp;RIGHT('Kat. I'!$A$2-6,2)</f>
        <v>Okt. -6</v>
      </c>
      <c r="AO60" s="31"/>
      <c r="AQ60" s="27" t="s">
        <v>58</v>
      </c>
      <c r="AR60" s="30" t="str">
        <f>"Okt. "&amp;RIGHT('Kat. I'!$A$2-7,2)</f>
        <v>Okt. -7</v>
      </c>
      <c r="AS60" s="31"/>
      <c r="AU60" s="27" t="s">
        <v>58</v>
      </c>
      <c r="AV60" s="30" t="str">
        <f>"Okt. "&amp;RIGHT('Kat. I'!$A$2-8,2)</f>
        <v>Okt. -8</v>
      </c>
      <c r="AW60" s="31"/>
      <c r="AY60" s="27" t="s">
        <v>58</v>
      </c>
      <c r="AZ60" s="30" t="str">
        <f>"Okt. "&amp;RIGHT('Kat. I'!$A$2-9,2)</f>
        <v>Okt. -9</v>
      </c>
      <c r="BA60" s="31"/>
    </row>
    <row r="61" spans="1:53">
      <c r="A61" s="27" t="s">
        <v>58</v>
      </c>
      <c r="B61" s="28" t="str">
        <f>"Nov. "&amp;RIGHT('Kat. I'!$A$2,2)</f>
        <v xml:space="preserve">Nov. </v>
      </c>
      <c r="C61" s="29"/>
      <c r="D61" s="29">
        <f>Nov.!$A$7</f>
        <v>1490.75</v>
      </c>
      <c r="O61" s="27" t="s">
        <v>58</v>
      </c>
      <c r="P61" s="28" t="str">
        <f>"Nov. "&amp;RIGHT('Kat. I'!$A$2,2)</f>
        <v xml:space="preserve">Nov. </v>
      </c>
      <c r="Q61" s="29">
        <f>Nov.!$A$7</f>
        <v>1490.75</v>
      </c>
      <c r="R61" s="29">
        <f>Nov.!$A$7</f>
        <v>1490.75</v>
      </c>
      <c r="S61" s="27" t="s">
        <v>58</v>
      </c>
      <c r="T61" s="30" t="str">
        <f>"Nov. "&amp;RIGHT('Kat. I'!$A$2-1,2)</f>
        <v>Nov. -1</v>
      </c>
      <c r="U61" s="31"/>
      <c r="W61" s="27" t="s">
        <v>58</v>
      </c>
      <c r="X61" s="30" t="str">
        <f>"Nov. "&amp;RIGHT('Kat. I'!$A$2-2,2)</f>
        <v>Nov. -2</v>
      </c>
      <c r="Y61" s="31"/>
      <c r="AA61" s="27" t="s">
        <v>58</v>
      </c>
      <c r="AB61" s="30" t="str">
        <f>"Nov. "&amp;RIGHT('Kat. I'!$A$2-3,2)</f>
        <v>Nov. -3</v>
      </c>
      <c r="AC61" s="31"/>
      <c r="AE61" s="27" t="s">
        <v>58</v>
      </c>
      <c r="AF61" s="30" t="str">
        <f>"Nov. "&amp;RIGHT('Kat. I'!$A$2-4,2)</f>
        <v>Nov. -4</v>
      </c>
      <c r="AG61" s="31"/>
      <c r="AI61" s="27" t="s">
        <v>58</v>
      </c>
      <c r="AJ61" s="30" t="str">
        <f>"Nov. "&amp;RIGHT('Kat. I'!$A$2-5,2)</f>
        <v>Nov. -5</v>
      </c>
      <c r="AK61" s="31"/>
      <c r="AM61" s="27" t="s">
        <v>58</v>
      </c>
      <c r="AN61" s="30" t="str">
        <f>"Nov. "&amp;RIGHT('Kat. I'!$A$2-6,2)</f>
        <v>Nov. -6</v>
      </c>
      <c r="AO61" s="31"/>
      <c r="AQ61" s="27" t="s">
        <v>58</v>
      </c>
      <c r="AR61" s="30" t="str">
        <f>"Nov. "&amp;RIGHT('Kat. I'!$A$2-7,2)</f>
        <v>Nov. -7</v>
      </c>
      <c r="AS61" s="31"/>
      <c r="AU61" s="27" t="s">
        <v>58</v>
      </c>
      <c r="AV61" s="30" t="str">
        <f>"Nov. "&amp;RIGHT('Kat. I'!$A$2-8,2)</f>
        <v>Nov. -8</v>
      </c>
      <c r="AW61" s="31"/>
      <c r="AY61" s="27" t="s">
        <v>58</v>
      </c>
      <c r="AZ61" s="30" t="str">
        <f>"Nov. "&amp;RIGHT('Kat. I'!$A$2-9,2)</f>
        <v>Nov. -9</v>
      </c>
      <c r="BA61" s="31"/>
    </row>
    <row r="62" spans="1:53">
      <c r="A62" s="27" t="s">
        <v>58</v>
      </c>
      <c r="B62" s="28" t="str">
        <f>"Dez. "&amp;RIGHT('Kat. I'!$A$2,2)</f>
        <v xml:space="preserve">Dez. </v>
      </c>
      <c r="C62" s="29"/>
      <c r="D62" s="29">
        <f>Dez.!$A$7</f>
        <v>1490.75</v>
      </c>
      <c r="O62" s="27" t="s">
        <v>58</v>
      </c>
      <c r="P62" s="28" t="str">
        <f>"Dez. "&amp;RIGHT('Kat. I'!$A$2,2)</f>
        <v xml:space="preserve">Dez. </v>
      </c>
      <c r="Q62" s="29">
        <f>Dez.!$A$7</f>
        <v>1490.75</v>
      </c>
      <c r="R62" s="29">
        <f>Dez.!$A$7</f>
        <v>1490.75</v>
      </c>
      <c r="S62" s="27" t="s">
        <v>58</v>
      </c>
      <c r="T62" s="30" t="str">
        <f>"Dez. "&amp;RIGHT('Kat. I'!$A$2-1,2)</f>
        <v>Dez. -1</v>
      </c>
      <c r="U62" s="31"/>
      <c r="W62" s="27" t="s">
        <v>58</v>
      </c>
      <c r="X62" s="30" t="str">
        <f>"Dez. "&amp;RIGHT('Kat. I'!$A$2-2,2)</f>
        <v>Dez. -2</v>
      </c>
      <c r="Y62" s="31"/>
      <c r="AA62" s="27" t="s">
        <v>58</v>
      </c>
      <c r="AB62" s="30" t="str">
        <f>"Dez. "&amp;RIGHT('Kat. I'!$A$2-3,2)</f>
        <v>Dez. -3</v>
      </c>
      <c r="AC62" s="31"/>
      <c r="AE62" s="27" t="s">
        <v>58</v>
      </c>
      <c r="AF62" s="30" t="str">
        <f>"Dez. "&amp;RIGHT('Kat. I'!$A$2-4,2)</f>
        <v>Dez. -4</v>
      </c>
      <c r="AG62" s="31"/>
      <c r="AI62" s="27" t="s">
        <v>58</v>
      </c>
      <c r="AJ62" s="30" t="str">
        <f>"Dez. "&amp;RIGHT('Kat. I'!$A$2-5,2)</f>
        <v>Dez. -5</v>
      </c>
      <c r="AK62" s="31"/>
      <c r="AM62" s="27" t="s">
        <v>58</v>
      </c>
      <c r="AN62" s="30" t="str">
        <f>"Dez. "&amp;RIGHT('Kat. I'!$A$2-6,2)</f>
        <v>Dez. -6</v>
      </c>
      <c r="AO62" s="31"/>
      <c r="AQ62" s="27" t="s">
        <v>58</v>
      </c>
      <c r="AR62" s="30" t="str">
        <f>"Dez. "&amp;RIGHT('Kat. I'!$A$2-7,2)</f>
        <v>Dez. -7</v>
      </c>
      <c r="AS62" s="31"/>
      <c r="AU62" s="27" t="s">
        <v>58</v>
      </c>
      <c r="AV62" s="30" t="str">
        <f>"Dez. "&amp;RIGHT('Kat. I'!$A$2-8,2)</f>
        <v>Dez. -8</v>
      </c>
      <c r="AW62" s="31"/>
      <c r="AY62" s="27" t="s">
        <v>58</v>
      </c>
      <c r="AZ62" s="30" t="str">
        <f>"Dez. "&amp;RIGHT('Kat. I'!$A$2-9,2)</f>
        <v>Dez. -9</v>
      </c>
      <c r="BA62" s="31"/>
    </row>
    <row r="63" spans="1:53">
      <c r="W63" s="27" t="s">
        <v>58</v>
      </c>
      <c r="X63" s="32" t="str">
        <f>"Jan. "&amp;RIGHT('Kat. I'!$A$2-1,2)</f>
        <v>Jan. -1</v>
      </c>
      <c r="Y63" s="31"/>
      <c r="AA63" s="27" t="s">
        <v>58</v>
      </c>
      <c r="AB63" s="32" t="str">
        <f>"Jan. "&amp;RIGHT('Kat. I'!$A$2-2,2)</f>
        <v>Jan. -2</v>
      </c>
      <c r="AC63" s="31"/>
      <c r="AE63" s="27" t="s">
        <v>58</v>
      </c>
      <c r="AF63" s="32" t="str">
        <f>"Jan. "&amp;RIGHT('Kat. I'!$A$2-3,2)</f>
        <v>Jan. -3</v>
      </c>
      <c r="AG63" s="31"/>
      <c r="AI63" s="27" t="s">
        <v>58</v>
      </c>
      <c r="AJ63" s="32" t="str">
        <f>"Jan. "&amp;RIGHT('Kat. I'!$A$2-4,2)</f>
        <v>Jan. -4</v>
      </c>
      <c r="AK63" s="31"/>
      <c r="AM63" s="27" t="s">
        <v>58</v>
      </c>
      <c r="AN63" s="32" t="str">
        <f>"Jan. "&amp;RIGHT('Kat. I'!$A$2-5,2)</f>
        <v>Jan. -5</v>
      </c>
      <c r="AO63" s="31"/>
      <c r="AQ63" s="27" t="s">
        <v>58</v>
      </c>
      <c r="AR63" s="32" t="str">
        <f>"Jan. "&amp;RIGHT('Kat. I'!$A$2-6,2)</f>
        <v>Jan. -6</v>
      </c>
      <c r="AS63" s="31"/>
      <c r="AU63" s="27" t="s">
        <v>58</v>
      </c>
      <c r="AV63" s="32" t="str">
        <f>"Jan. "&amp;RIGHT('Kat. I'!$A$2-7,2)</f>
        <v>Jan. -7</v>
      </c>
      <c r="AW63" s="31"/>
      <c r="AY63" s="27" t="s">
        <v>58</v>
      </c>
      <c r="AZ63" s="32" t="str">
        <f>"Jan. "&amp;RIGHT('Kat. I'!$A$2-8,2)</f>
        <v>Jan. -8</v>
      </c>
      <c r="BA63" s="31"/>
    </row>
    <row r="64" spans="1:53">
      <c r="W64" s="27" t="s">
        <v>58</v>
      </c>
      <c r="X64" s="32" t="str">
        <f>"Feb. "&amp;RIGHT('Kat. I'!$A$2-1,2)</f>
        <v>Feb. -1</v>
      </c>
      <c r="Y64" s="31"/>
      <c r="AA64" s="27" t="s">
        <v>58</v>
      </c>
      <c r="AB64" s="32" t="str">
        <f>"Feb. "&amp;RIGHT('Kat. I'!$A$2-2,2)</f>
        <v>Feb. -2</v>
      </c>
      <c r="AC64" s="31"/>
      <c r="AE64" s="27" t="s">
        <v>58</v>
      </c>
      <c r="AF64" s="32" t="str">
        <f>"Feb. "&amp;RIGHT('Kat. I'!$A$2-3,2)</f>
        <v>Feb. -3</v>
      </c>
      <c r="AG64" s="31"/>
      <c r="AI64" s="27" t="s">
        <v>58</v>
      </c>
      <c r="AJ64" s="32" t="str">
        <f>"Feb. "&amp;RIGHT('Kat. I'!$A$2-4,2)</f>
        <v>Feb. -4</v>
      </c>
      <c r="AK64" s="31"/>
      <c r="AM64" s="27" t="s">
        <v>58</v>
      </c>
      <c r="AN64" s="32" t="str">
        <f>"Feb. "&amp;RIGHT('Kat. I'!$A$2-5,2)</f>
        <v>Feb. -5</v>
      </c>
      <c r="AO64" s="31"/>
      <c r="AQ64" s="27" t="s">
        <v>58</v>
      </c>
      <c r="AR64" s="32" t="str">
        <f>"Feb. "&amp;RIGHT('Kat. I'!$A$2-6,2)</f>
        <v>Feb. -6</v>
      </c>
      <c r="AS64" s="31"/>
      <c r="AU64" s="27" t="s">
        <v>58</v>
      </c>
      <c r="AV64" s="32" t="str">
        <f>"Feb. "&amp;RIGHT('Kat. I'!$A$2-7,2)</f>
        <v>Feb. -7</v>
      </c>
      <c r="AW64" s="31"/>
      <c r="AY64" s="27" t="s">
        <v>58</v>
      </c>
      <c r="AZ64" s="32" t="str">
        <f>"Feb. "&amp;RIGHT('Kat. I'!$A$2-8,2)</f>
        <v>Feb. -8</v>
      </c>
      <c r="BA64" s="31"/>
    </row>
    <row r="65" spans="23:53">
      <c r="W65" s="27" t="s">
        <v>58</v>
      </c>
      <c r="X65" s="32" t="str">
        <f>"März "&amp;RIGHT('Kat. I'!$A$2-1,2)</f>
        <v>März -1</v>
      </c>
      <c r="Y65" s="31"/>
      <c r="AA65" s="27" t="s">
        <v>58</v>
      </c>
      <c r="AB65" s="32" t="str">
        <f>"März "&amp;RIGHT('Kat. I'!$A$2-2,2)</f>
        <v>März -2</v>
      </c>
      <c r="AC65" s="31"/>
      <c r="AE65" s="27" t="s">
        <v>58</v>
      </c>
      <c r="AF65" s="32" t="str">
        <f>"März "&amp;RIGHT('Kat. I'!$A$2-3,2)</f>
        <v>März -3</v>
      </c>
      <c r="AG65" s="31"/>
      <c r="AI65" s="27" t="s">
        <v>58</v>
      </c>
      <c r="AJ65" s="32" t="str">
        <f>"März "&amp;RIGHT('Kat. I'!$A$2-4,2)</f>
        <v>März -4</v>
      </c>
      <c r="AK65" s="31"/>
      <c r="AM65" s="27" t="s">
        <v>58</v>
      </c>
      <c r="AN65" s="32" t="str">
        <f>"März "&amp;RIGHT('Kat. I'!$A$2-5,2)</f>
        <v>März -5</v>
      </c>
      <c r="AO65" s="31"/>
      <c r="AQ65" s="27" t="s">
        <v>58</v>
      </c>
      <c r="AR65" s="32" t="str">
        <f>"März "&amp;RIGHT('Kat. I'!$A$2-6,2)</f>
        <v>März -6</v>
      </c>
      <c r="AS65" s="31"/>
      <c r="AU65" s="27" t="s">
        <v>58</v>
      </c>
      <c r="AV65" s="32" t="str">
        <f>"März "&amp;RIGHT('Kat. I'!$A$2-7,2)</f>
        <v>März -7</v>
      </c>
      <c r="AW65" s="31"/>
      <c r="AY65" s="27" t="s">
        <v>58</v>
      </c>
      <c r="AZ65" s="32" t="str">
        <f>"März "&amp;RIGHT('Kat. I'!$A$2-8,2)</f>
        <v>März -8</v>
      </c>
      <c r="BA65" s="31"/>
    </row>
    <row r="66" spans="23:53">
      <c r="W66" s="27" t="s">
        <v>58</v>
      </c>
      <c r="X66" s="32" t="str">
        <f>"April "&amp;RIGHT('Kat. I'!$A$2-1,2)</f>
        <v>April -1</v>
      </c>
      <c r="Y66" s="31"/>
      <c r="AA66" s="27" t="s">
        <v>58</v>
      </c>
      <c r="AB66" s="32" t="str">
        <f>"April "&amp;RIGHT('Kat. I'!$A$2-2,2)</f>
        <v>April -2</v>
      </c>
      <c r="AC66" s="31"/>
      <c r="AE66" s="27" t="s">
        <v>58</v>
      </c>
      <c r="AF66" s="32" t="str">
        <f>"April "&amp;RIGHT('Kat. I'!$A$2-3,2)</f>
        <v>April -3</v>
      </c>
      <c r="AG66" s="31"/>
      <c r="AI66" s="27" t="s">
        <v>58</v>
      </c>
      <c r="AJ66" s="32" t="str">
        <f>"April "&amp;RIGHT('Kat. I'!$A$2-4,2)</f>
        <v>April -4</v>
      </c>
      <c r="AK66" s="31"/>
      <c r="AM66" s="27" t="s">
        <v>58</v>
      </c>
      <c r="AN66" s="32" t="str">
        <f>"April "&amp;RIGHT('Kat. I'!$A$2-5,2)</f>
        <v>April -5</v>
      </c>
      <c r="AO66" s="31"/>
      <c r="AQ66" s="27" t="s">
        <v>58</v>
      </c>
      <c r="AR66" s="32" t="str">
        <f>"April "&amp;RIGHT('Kat. I'!$A$2-6,2)</f>
        <v>April -6</v>
      </c>
      <c r="AS66" s="31"/>
      <c r="AU66" s="27" t="s">
        <v>58</v>
      </c>
      <c r="AV66" s="32" t="str">
        <f>"April "&amp;RIGHT('Kat. I'!$A$2-7,2)</f>
        <v>April -7</v>
      </c>
      <c r="AW66" s="31"/>
      <c r="AY66" s="27" t="s">
        <v>58</v>
      </c>
      <c r="AZ66" s="32" t="str">
        <f>"April "&amp;RIGHT('Kat. I'!$A$2-8,2)</f>
        <v>April -8</v>
      </c>
      <c r="BA66" s="31"/>
    </row>
    <row r="67" spans="23:53">
      <c r="W67" s="27" t="s">
        <v>58</v>
      </c>
      <c r="X67" s="32" t="str">
        <f>"Mai "&amp;RIGHT('Kat. I'!$A$2-1,2)</f>
        <v>Mai -1</v>
      </c>
      <c r="Y67" s="31"/>
      <c r="AA67" s="27" t="s">
        <v>58</v>
      </c>
      <c r="AB67" s="32" t="str">
        <f>"Mai "&amp;RIGHT('Kat. I'!$A$2-2,2)</f>
        <v>Mai -2</v>
      </c>
      <c r="AC67" s="31"/>
      <c r="AE67" s="27" t="s">
        <v>58</v>
      </c>
      <c r="AF67" s="32" t="str">
        <f>"Mai "&amp;RIGHT('Kat. I'!$A$2-3,2)</f>
        <v>Mai -3</v>
      </c>
      <c r="AG67" s="31"/>
      <c r="AI67" s="27" t="s">
        <v>58</v>
      </c>
      <c r="AJ67" s="32" t="str">
        <f>"Mai "&amp;RIGHT('Kat. I'!$A$2-4,2)</f>
        <v>Mai -4</v>
      </c>
      <c r="AK67" s="31"/>
      <c r="AM67" s="27" t="s">
        <v>58</v>
      </c>
      <c r="AN67" s="32" t="str">
        <f>"Mai "&amp;RIGHT('Kat. I'!$A$2-5,2)</f>
        <v>Mai -5</v>
      </c>
      <c r="AO67" s="31"/>
      <c r="AQ67" s="27" t="s">
        <v>58</v>
      </c>
      <c r="AR67" s="32" t="str">
        <f>"Mai "&amp;RIGHT('Kat. I'!$A$2-6,2)</f>
        <v>Mai -6</v>
      </c>
      <c r="AS67" s="31"/>
      <c r="AU67" s="27" t="s">
        <v>58</v>
      </c>
      <c r="AV67" s="32" t="str">
        <f>"Mai "&amp;RIGHT('Kat. I'!$A$2-7,2)</f>
        <v>Mai -7</v>
      </c>
      <c r="AW67" s="31"/>
      <c r="AY67" s="27" t="s">
        <v>58</v>
      </c>
      <c r="AZ67" s="32" t="str">
        <f>"Mai "&amp;RIGHT('Kat. I'!$A$2-8,2)</f>
        <v>Mai -8</v>
      </c>
      <c r="BA67" s="31"/>
    </row>
    <row r="68" spans="23:53">
      <c r="W68" s="27" t="s">
        <v>58</v>
      </c>
      <c r="X68" s="32" t="str">
        <f>"Juni "&amp;RIGHT('Kat. I'!$A$2-1,2)</f>
        <v>Juni -1</v>
      </c>
      <c r="Y68" s="31"/>
      <c r="AA68" s="27" t="s">
        <v>58</v>
      </c>
      <c r="AB68" s="32" t="str">
        <f>"Juni "&amp;RIGHT('Kat. I'!$A$2-2,2)</f>
        <v>Juni -2</v>
      </c>
      <c r="AC68" s="31"/>
      <c r="AE68" s="27" t="s">
        <v>58</v>
      </c>
      <c r="AF68" s="32" t="str">
        <f>"Juni "&amp;RIGHT('Kat. I'!$A$2-3,2)</f>
        <v>Juni -3</v>
      </c>
      <c r="AG68" s="31"/>
      <c r="AI68" s="27" t="s">
        <v>58</v>
      </c>
      <c r="AJ68" s="32" t="str">
        <f>"Juni "&amp;RIGHT('Kat. I'!$A$2-4,2)</f>
        <v>Juni -4</v>
      </c>
      <c r="AK68" s="31"/>
      <c r="AM68" s="27" t="s">
        <v>58</v>
      </c>
      <c r="AN68" s="32" t="str">
        <f>"Juni "&amp;RIGHT('Kat. I'!$A$2-5,2)</f>
        <v>Juni -5</v>
      </c>
      <c r="AO68" s="31"/>
      <c r="AQ68" s="27" t="s">
        <v>58</v>
      </c>
      <c r="AR68" s="32" t="str">
        <f>"Juni "&amp;RIGHT('Kat. I'!$A$2-6,2)</f>
        <v>Juni -6</v>
      </c>
      <c r="AS68" s="31"/>
      <c r="AU68" s="27" t="s">
        <v>58</v>
      </c>
      <c r="AV68" s="32" t="str">
        <f>"Juni "&amp;RIGHT('Kat. I'!$A$2-7,2)</f>
        <v>Juni -7</v>
      </c>
      <c r="AW68" s="31"/>
      <c r="AY68" s="27" t="s">
        <v>58</v>
      </c>
      <c r="AZ68" s="32" t="str">
        <f>"Juni "&amp;RIGHT('Kat. I'!$A$2-8,2)</f>
        <v>Juni -8</v>
      </c>
      <c r="BA68" s="31"/>
    </row>
    <row r="69" spans="23:53">
      <c r="W69" s="27" t="s">
        <v>58</v>
      </c>
      <c r="X69" s="32" t="str">
        <f>"Juli "&amp;RIGHT('Kat. I'!$A$2-1,2)</f>
        <v>Juli -1</v>
      </c>
      <c r="Y69" s="31"/>
      <c r="AA69" s="27" t="s">
        <v>58</v>
      </c>
      <c r="AB69" s="32" t="str">
        <f>"Juli "&amp;RIGHT('Kat. I'!$A$2-2,2)</f>
        <v>Juli -2</v>
      </c>
      <c r="AC69" s="31"/>
      <c r="AE69" s="27" t="s">
        <v>58</v>
      </c>
      <c r="AF69" s="32" t="str">
        <f>"Juli "&amp;RIGHT('Kat. I'!$A$2-3,2)</f>
        <v>Juli -3</v>
      </c>
      <c r="AG69" s="31"/>
      <c r="AI69" s="27" t="s">
        <v>58</v>
      </c>
      <c r="AJ69" s="32" t="str">
        <f>"Juli "&amp;RIGHT('Kat. I'!$A$2-4,2)</f>
        <v>Juli -4</v>
      </c>
      <c r="AK69" s="31"/>
      <c r="AM69" s="27" t="s">
        <v>58</v>
      </c>
      <c r="AN69" s="32" t="str">
        <f>"Juli "&amp;RIGHT('Kat. I'!$A$2-5,2)</f>
        <v>Juli -5</v>
      </c>
      <c r="AO69" s="31"/>
      <c r="AQ69" s="27" t="s">
        <v>58</v>
      </c>
      <c r="AR69" s="32" t="str">
        <f>"Juli "&amp;RIGHT('Kat. I'!$A$2-6,2)</f>
        <v>Juli -6</v>
      </c>
      <c r="AS69" s="31"/>
      <c r="AU69" s="27" t="s">
        <v>58</v>
      </c>
      <c r="AV69" s="32" t="str">
        <f>"Juli "&amp;RIGHT('Kat. I'!$A$2-7,2)</f>
        <v>Juli -7</v>
      </c>
      <c r="AW69" s="31"/>
      <c r="AY69" s="27" t="s">
        <v>58</v>
      </c>
      <c r="AZ69" s="32" t="str">
        <f>"Juli "&amp;RIGHT('Kat. I'!$A$2-8,2)</f>
        <v>Juli -8</v>
      </c>
      <c r="BA69" s="31"/>
    </row>
    <row r="70" spans="23:53">
      <c r="W70" s="27" t="s">
        <v>58</v>
      </c>
      <c r="X70" s="32" t="str">
        <f>"Aug. "&amp;RIGHT('Kat. I'!$A$2-1,2)</f>
        <v>Aug. -1</v>
      </c>
      <c r="Y70" s="31"/>
      <c r="AA70" s="27" t="s">
        <v>58</v>
      </c>
      <c r="AB70" s="32" t="str">
        <f>"Aug. "&amp;RIGHT('Kat. I'!$A$2-2,2)</f>
        <v>Aug. -2</v>
      </c>
      <c r="AC70" s="31"/>
      <c r="AE70" s="27" t="s">
        <v>58</v>
      </c>
      <c r="AF70" s="32" t="str">
        <f>"Aug. "&amp;RIGHT('Kat. I'!$A$2-3,2)</f>
        <v>Aug. -3</v>
      </c>
      <c r="AG70" s="31"/>
      <c r="AI70" s="27" t="s">
        <v>58</v>
      </c>
      <c r="AJ70" s="32" t="str">
        <f>"Aug. "&amp;RIGHT('Kat. I'!$A$2-4,2)</f>
        <v>Aug. -4</v>
      </c>
      <c r="AK70" s="31"/>
      <c r="AM70" s="27" t="s">
        <v>58</v>
      </c>
      <c r="AN70" s="32" t="str">
        <f>"Aug. "&amp;RIGHT('Kat. I'!$A$2-5,2)</f>
        <v>Aug. -5</v>
      </c>
      <c r="AO70" s="31"/>
      <c r="AQ70" s="27" t="s">
        <v>58</v>
      </c>
      <c r="AR70" s="32" t="str">
        <f>"Aug. "&amp;RIGHT('Kat. I'!$A$2-6,2)</f>
        <v>Aug. -6</v>
      </c>
      <c r="AS70" s="31"/>
      <c r="AU70" s="27" t="s">
        <v>58</v>
      </c>
      <c r="AV70" s="32" t="str">
        <f>"Aug. "&amp;RIGHT('Kat. I'!$A$2-7,2)</f>
        <v>Aug. -7</v>
      </c>
      <c r="AW70" s="31"/>
      <c r="AY70" s="27" t="s">
        <v>58</v>
      </c>
      <c r="AZ70" s="32" t="str">
        <f>"Aug. "&amp;RIGHT('Kat. I'!$A$2-8,2)</f>
        <v>Aug. -8</v>
      </c>
      <c r="BA70" s="31"/>
    </row>
    <row r="71" spans="23:53">
      <c r="W71" s="27" t="s">
        <v>58</v>
      </c>
      <c r="X71" s="32" t="str">
        <f>"Sept. "&amp;RIGHT('Kat. I'!$A$2-1,2)</f>
        <v>Sept. -1</v>
      </c>
      <c r="Y71" s="31"/>
      <c r="AA71" s="27" t="s">
        <v>58</v>
      </c>
      <c r="AB71" s="32" t="str">
        <f>"Sept. "&amp;RIGHT('Kat. I'!$A$2-2,2)</f>
        <v>Sept. -2</v>
      </c>
      <c r="AC71" s="31"/>
      <c r="AE71" s="27" t="s">
        <v>58</v>
      </c>
      <c r="AF71" s="32" t="str">
        <f>"Sept. "&amp;RIGHT('Kat. I'!$A$2-3,2)</f>
        <v>Sept. -3</v>
      </c>
      <c r="AG71" s="31"/>
      <c r="AI71" s="27" t="s">
        <v>58</v>
      </c>
      <c r="AJ71" s="32" t="str">
        <f>"Sept. "&amp;RIGHT('Kat. I'!$A$2-4,2)</f>
        <v>Sept. -4</v>
      </c>
      <c r="AK71" s="31"/>
      <c r="AM71" s="27" t="s">
        <v>58</v>
      </c>
      <c r="AN71" s="32" t="str">
        <f>"Sept. "&amp;RIGHT('Kat. I'!$A$2-5,2)</f>
        <v>Sept. -5</v>
      </c>
      <c r="AO71" s="31"/>
      <c r="AQ71" s="27" t="s">
        <v>58</v>
      </c>
      <c r="AR71" s="32" t="str">
        <f>"Sept. "&amp;RIGHT('Kat. I'!$A$2-6,2)</f>
        <v>Sept. -6</v>
      </c>
      <c r="AS71" s="31"/>
      <c r="AU71" s="27" t="s">
        <v>58</v>
      </c>
      <c r="AV71" s="32" t="str">
        <f>"Sept. "&amp;RIGHT('Kat. I'!$A$2-7,2)</f>
        <v>Sept. -7</v>
      </c>
      <c r="AW71" s="31"/>
      <c r="AY71" s="27" t="s">
        <v>58</v>
      </c>
      <c r="AZ71" s="32" t="str">
        <f>"Sept. "&amp;RIGHT('Kat. I'!$A$2-8,2)</f>
        <v>Sept. -8</v>
      </c>
      <c r="BA71" s="31"/>
    </row>
    <row r="72" spans="23:53">
      <c r="W72" s="27" t="s">
        <v>58</v>
      </c>
      <c r="X72" s="32" t="str">
        <f>"Okt. "&amp;RIGHT('Kat. I'!$A$2-1,2)</f>
        <v>Okt. -1</v>
      </c>
      <c r="Y72" s="31"/>
      <c r="AA72" s="27" t="s">
        <v>58</v>
      </c>
      <c r="AB72" s="32" t="str">
        <f>"Okt. "&amp;RIGHT('Kat. I'!$A$2-2,2)</f>
        <v>Okt. -2</v>
      </c>
      <c r="AC72" s="31"/>
      <c r="AE72" s="27" t="s">
        <v>58</v>
      </c>
      <c r="AF72" s="32" t="str">
        <f>"Okt. "&amp;RIGHT('Kat. I'!$A$2-3,2)</f>
        <v>Okt. -3</v>
      </c>
      <c r="AG72" s="31"/>
      <c r="AI72" s="27" t="s">
        <v>58</v>
      </c>
      <c r="AJ72" s="32" t="str">
        <f>"Okt. "&amp;RIGHT('Kat. I'!$A$2-4,2)</f>
        <v>Okt. -4</v>
      </c>
      <c r="AK72" s="31"/>
      <c r="AM72" s="27" t="s">
        <v>58</v>
      </c>
      <c r="AN72" s="32" t="str">
        <f>"Okt. "&amp;RIGHT('Kat. I'!$A$2-5,2)</f>
        <v>Okt. -5</v>
      </c>
      <c r="AO72" s="31"/>
      <c r="AQ72" s="27" t="s">
        <v>58</v>
      </c>
      <c r="AR72" s="32" t="str">
        <f>"Okt. "&amp;RIGHT('Kat. I'!$A$2-6,2)</f>
        <v>Okt. -6</v>
      </c>
      <c r="AS72" s="31"/>
      <c r="AU72" s="27" t="s">
        <v>58</v>
      </c>
      <c r="AV72" s="32" t="str">
        <f>"Okt. "&amp;RIGHT('Kat. I'!$A$2-7,2)</f>
        <v>Okt. -7</v>
      </c>
      <c r="AW72" s="31"/>
      <c r="AY72" s="27" t="s">
        <v>58</v>
      </c>
      <c r="AZ72" s="32" t="str">
        <f>"Okt. "&amp;RIGHT('Kat. I'!$A$2-8,2)</f>
        <v>Okt. -8</v>
      </c>
      <c r="BA72" s="31"/>
    </row>
    <row r="73" spans="23:53">
      <c r="W73" s="27" t="s">
        <v>58</v>
      </c>
      <c r="X73" s="32" t="str">
        <f>"Nov. "&amp;RIGHT('Kat. I'!$A$2-1,2)</f>
        <v>Nov. -1</v>
      </c>
      <c r="Y73" s="31"/>
      <c r="AA73" s="27" t="s">
        <v>58</v>
      </c>
      <c r="AB73" s="32" t="str">
        <f>"Nov. "&amp;RIGHT('Kat. I'!$A$2-2,2)</f>
        <v>Nov. -2</v>
      </c>
      <c r="AC73" s="31"/>
      <c r="AE73" s="27" t="s">
        <v>58</v>
      </c>
      <c r="AF73" s="32" t="str">
        <f>"Nov. "&amp;RIGHT('Kat. I'!$A$2-3,2)</f>
        <v>Nov. -3</v>
      </c>
      <c r="AG73" s="31"/>
      <c r="AI73" s="27" t="s">
        <v>58</v>
      </c>
      <c r="AJ73" s="32" t="str">
        <f>"Nov. "&amp;RIGHT('Kat. I'!$A$2-4,2)</f>
        <v>Nov. -4</v>
      </c>
      <c r="AK73" s="31"/>
      <c r="AM73" s="27" t="s">
        <v>58</v>
      </c>
      <c r="AN73" s="32" t="str">
        <f>"Nov. "&amp;RIGHT('Kat. I'!$A$2-5,2)</f>
        <v>Nov. -5</v>
      </c>
      <c r="AO73" s="31"/>
      <c r="AQ73" s="27" t="s">
        <v>58</v>
      </c>
      <c r="AR73" s="32" t="str">
        <f>"Nov. "&amp;RIGHT('Kat. I'!$A$2-6,2)</f>
        <v>Nov. -6</v>
      </c>
      <c r="AS73" s="31"/>
      <c r="AU73" s="27" t="s">
        <v>58</v>
      </c>
      <c r="AV73" s="32" t="str">
        <f>"Nov. "&amp;RIGHT('Kat. I'!$A$2-7,2)</f>
        <v>Nov. -7</v>
      </c>
      <c r="AW73" s="31"/>
      <c r="AY73" s="27" t="s">
        <v>58</v>
      </c>
      <c r="AZ73" s="32" t="str">
        <f>"Nov. "&amp;RIGHT('Kat. I'!$A$2-8,2)</f>
        <v>Nov. -8</v>
      </c>
      <c r="BA73" s="31"/>
    </row>
    <row r="74" spans="23:53">
      <c r="W74" s="27" t="s">
        <v>58</v>
      </c>
      <c r="X74" s="32" t="str">
        <f>"Dez. "&amp;RIGHT('Kat. I'!$A$2-1,2)</f>
        <v>Dez. -1</v>
      </c>
      <c r="Y74" s="31"/>
      <c r="AA74" s="27" t="s">
        <v>58</v>
      </c>
      <c r="AB74" s="32" t="str">
        <f>"Dez. "&amp;RIGHT('Kat. I'!$A$2-2,2)</f>
        <v>Dez. -2</v>
      </c>
      <c r="AC74" s="31"/>
      <c r="AE74" s="27" t="s">
        <v>58</v>
      </c>
      <c r="AF74" s="32" t="str">
        <f>"Dez. "&amp;RIGHT('Kat. I'!$A$2-3,2)</f>
        <v>Dez. -3</v>
      </c>
      <c r="AG74" s="31"/>
      <c r="AI74" s="27" t="s">
        <v>58</v>
      </c>
      <c r="AJ74" s="32" t="str">
        <f>"Dez. "&amp;RIGHT('Kat. I'!$A$2-4,2)</f>
        <v>Dez. -4</v>
      </c>
      <c r="AK74" s="31"/>
      <c r="AM74" s="27" t="s">
        <v>58</v>
      </c>
      <c r="AN74" s="32" t="str">
        <f>"Dez. "&amp;RIGHT('Kat. I'!$A$2-5,2)</f>
        <v>Dez. -5</v>
      </c>
      <c r="AO74" s="31"/>
      <c r="AQ74" s="27" t="s">
        <v>58</v>
      </c>
      <c r="AR74" s="32" t="str">
        <f>"Dez. "&amp;RIGHT('Kat. I'!$A$2-6,2)</f>
        <v>Dez. -6</v>
      </c>
      <c r="AS74" s="31"/>
      <c r="AU74" s="27" t="s">
        <v>58</v>
      </c>
      <c r="AV74" s="32" t="str">
        <f>"Dez. "&amp;RIGHT('Kat. I'!$A$2-7,2)</f>
        <v>Dez. -7</v>
      </c>
      <c r="AW74" s="31"/>
      <c r="AY74" s="27" t="s">
        <v>58</v>
      </c>
      <c r="AZ74" s="32" t="str">
        <f>"Dez. "&amp;RIGHT('Kat. I'!$A$2-8,2)</f>
        <v>Dez. -8</v>
      </c>
      <c r="BA74" s="31"/>
    </row>
    <row r="75" spans="23:53">
      <c r="AA75" s="27" t="s">
        <v>58</v>
      </c>
      <c r="AB75" s="30" t="str">
        <f>"Jan. "&amp;RIGHT('Kat. I'!$A$2-1,2)</f>
        <v>Jan. -1</v>
      </c>
      <c r="AC75" s="31"/>
      <c r="AE75" s="27" t="s">
        <v>58</v>
      </c>
      <c r="AF75" s="30" t="str">
        <f>"Jan. "&amp;RIGHT('Kat. I'!$A$2-2,2)</f>
        <v>Jan. -2</v>
      </c>
      <c r="AG75" s="31"/>
      <c r="AI75" s="27" t="s">
        <v>58</v>
      </c>
      <c r="AJ75" s="30" t="str">
        <f>"Jan. "&amp;RIGHT('Kat. I'!$A$2-3,2)</f>
        <v>Jan. -3</v>
      </c>
      <c r="AK75" s="31"/>
      <c r="AM75" s="27" t="s">
        <v>58</v>
      </c>
      <c r="AN75" s="30" t="str">
        <f>"Jan. "&amp;RIGHT('Kat. I'!$A$2-4,2)</f>
        <v>Jan. -4</v>
      </c>
      <c r="AO75" s="31"/>
      <c r="AQ75" s="27" t="s">
        <v>58</v>
      </c>
      <c r="AR75" s="30" t="str">
        <f>"Jan. "&amp;RIGHT('Kat. I'!$A$2-5,2)</f>
        <v>Jan. -5</v>
      </c>
      <c r="AS75" s="31"/>
      <c r="AU75" s="27" t="s">
        <v>58</v>
      </c>
      <c r="AV75" s="30" t="str">
        <f>"Jan. "&amp;RIGHT('Kat. I'!$A$2-6,2)</f>
        <v>Jan. -6</v>
      </c>
      <c r="AW75" s="31"/>
      <c r="AY75" s="27" t="s">
        <v>58</v>
      </c>
      <c r="AZ75" s="30" t="str">
        <f>"Jan. "&amp;RIGHT('Kat. I'!$A$2-7,2)</f>
        <v>Jan. -7</v>
      </c>
      <c r="BA75" s="31"/>
    </row>
    <row r="76" spans="23:53">
      <c r="AA76" s="27" t="s">
        <v>58</v>
      </c>
      <c r="AB76" s="30" t="str">
        <f>"Feb. "&amp;RIGHT('Kat. I'!$A$2-1,2)</f>
        <v>Feb. -1</v>
      </c>
      <c r="AC76" s="31"/>
      <c r="AE76" s="27" t="s">
        <v>58</v>
      </c>
      <c r="AF76" s="30" t="str">
        <f>"Feb. "&amp;RIGHT('Kat. I'!$A$2-2,2)</f>
        <v>Feb. -2</v>
      </c>
      <c r="AG76" s="31"/>
      <c r="AI76" s="27" t="s">
        <v>58</v>
      </c>
      <c r="AJ76" s="30" t="str">
        <f>"Feb. "&amp;RIGHT('Kat. I'!$A$2-3,2)</f>
        <v>Feb. -3</v>
      </c>
      <c r="AK76" s="31"/>
      <c r="AM76" s="27" t="s">
        <v>58</v>
      </c>
      <c r="AN76" s="30" t="str">
        <f>"Feb. "&amp;RIGHT('Kat. I'!$A$2-4,2)</f>
        <v>Feb. -4</v>
      </c>
      <c r="AO76" s="31"/>
      <c r="AQ76" s="27" t="s">
        <v>58</v>
      </c>
      <c r="AR76" s="30" t="str">
        <f>"Feb. "&amp;RIGHT('Kat. I'!$A$2-5,2)</f>
        <v>Feb. -5</v>
      </c>
      <c r="AS76" s="31"/>
      <c r="AU76" s="27" t="s">
        <v>58</v>
      </c>
      <c r="AV76" s="30" t="str">
        <f>"Feb. "&amp;RIGHT('Kat. I'!$A$2-6,2)</f>
        <v>Feb. -6</v>
      </c>
      <c r="AW76" s="31"/>
      <c r="AY76" s="27" t="s">
        <v>58</v>
      </c>
      <c r="AZ76" s="30" t="str">
        <f>"Feb. "&amp;RIGHT('Kat. I'!$A$2-7,2)</f>
        <v>Feb. -7</v>
      </c>
      <c r="BA76" s="31"/>
    </row>
    <row r="77" spans="23:53">
      <c r="AA77" s="27" t="s">
        <v>58</v>
      </c>
      <c r="AB77" s="30" t="str">
        <f>"März "&amp;RIGHT('Kat. I'!$A$2-1,2)</f>
        <v>März -1</v>
      </c>
      <c r="AC77" s="31"/>
      <c r="AE77" s="27" t="s">
        <v>58</v>
      </c>
      <c r="AF77" s="30" t="str">
        <f>"März "&amp;RIGHT('Kat. I'!$A$2-2,2)</f>
        <v>März -2</v>
      </c>
      <c r="AG77" s="31"/>
      <c r="AI77" s="27" t="s">
        <v>58</v>
      </c>
      <c r="AJ77" s="30" t="str">
        <f>"März "&amp;RIGHT('Kat. I'!$A$2-3,2)</f>
        <v>März -3</v>
      </c>
      <c r="AK77" s="31"/>
      <c r="AM77" s="27" t="s">
        <v>58</v>
      </c>
      <c r="AN77" s="30" t="str">
        <f>"März "&amp;RIGHT('Kat. I'!$A$2-4,2)</f>
        <v>März -4</v>
      </c>
      <c r="AO77" s="31"/>
      <c r="AQ77" s="27" t="s">
        <v>58</v>
      </c>
      <c r="AR77" s="30" t="str">
        <f>"März "&amp;RIGHT('Kat. I'!$A$2-5,2)</f>
        <v>März -5</v>
      </c>
      <c r="AS77" s="31"/>
      <c r="AU77" s="27" t="s">
        <v>58</v>
      </c>
      <c r="AV77" s="30" t="str">
        <f>"März "&amp;RIGHT('Kat. I'!$A$2-6,2)</f>
        <v>März -6</v>
      </c>
      <c r="AW77" s="31"/>
      <c r="AY77" s="27" t="s">
        <v>58</v>
      </c>
      <c r="AZ77" s="30" t="str">
        <f>"März "&amp;RIGHT('Kat. I'!$A$2-7,2)</f>
        <v>März -7</v>
      </c>
      <c r="BA77" s="31"/>
    </row>
    <row r="78" spans="23:53">
      <c r="AA78" s="27" t="s">
        <v>58</v>
      </c>
      <c r="AB78" s="30" t="str">
        <f>"April "&amp;RIGHT('Kat. I'!$A$2-1,2)</f>
        <v>April -1</v>
      </c>
      <c r="AC78" s="31"/>
      <c r="AE78" s="27" t="s">
        <v>58</v>
      </c>
      <c r="AF78" s="30" t="str">
        <f>"April "&amp;RIGHT('Kat. I'!$A$2-2,2)</f>
        <v>April -2</v>
      </c>
      <c r="AG78" s="31"/>
      <c r="AI78" s="27" t="s">
        <v>58</v>
      </c>
      <c r="AJ78" s="30" t="str">
        <f>"April "&amp;RIGHT('Kat. I'!$A$2-3,2)</f>
        <v>April -3</v>
      </c>
      <c r="AK78" s="31"/>
      <c r="AM78" s="27" t="s">
        <v>58</v>
      </c>
      <c r="AN78" s="30" t="str">
        <f>"April "&amp;RIGHT('Kat. I'!$A$2-4,2)</f>
        <v>April -4</v>
      </c>
      <c r="AO78" s="31"/>
      <c r="AQ78" s="27" t="s">
        <v>58</v>
      </c>
      <c r="AR78" s="30" t="str">
        <f>"April "&amp;RIGHT('Kat. I'!$A$2-5,2)</f>
        <v>April -5</v>
      </c>
      <c r="AS78" s="31"/>
      <c r="AU78" s="27" t="s">
        <v>58</v>
      </c>
      <c r="AV78" s="30" t="str">
        <f>"April "&amp;RIGHT('Kat. I'!$A$2-6,2)</f>
        <v>April -6</v>
      </c>
      <c r="AW78" s="31"/>
      <c r="AY78" s="27" t="s">
        <v>58</v>
      </c>
      <c r="AZ78" s="30" t="str">
        <f>"April "&amp;RIGHT('Kat. I'!$A$2-7,2)</f>
        <v>April -7</v>
      </c>
      <c r="BA78" s="31"/>
    </row>
    <row r="79" spans="23:53">
      <c r="AA79" s="27" t="s">
        <v>58</v>
      </c>
      <c r="AB79" s="30" t="str">
        <f>"Mai "&amp;RIGHT('Kat. I'!$A$2-1,2)</f>
        <v>Mai -1</v>
      </c>
      <c r="AC79" s="31"/>
      <c r="AE79" s="27" t="s">
        <v>58</v>
      </c>
      <c r="AF79" s="30" t="str">
        <f>"Mai "&amp;RIGHT('Kat. I'!$A$2-2,2)</f>
        <v>Mai -2</v>
      </c>
      <c r="AG79" s="31"/>
      <c r="AI79" s="27" t="s">
        <v>58</v>
      </c>
      <c r="AJ79" s="30" t="str">
        <f>"Mai "&amp;RIGHT('Kat. I'!$A$2-3,2)</f>
        <v>Mai -3</v>
      </c>
      <c r="AK79" s="31"/>
      <c r="AM79" s="27" t="s">
        <v>58</v>
      </c>
      <c r="AN79" s="30" t="str">
        <f>"Mai "&amp;RIGHT('Kat. I'!$A$2-4,2)</f>
        <v>Mai -4</v>
      </c>
      <c r="AO79" s="31"/>
      <c r="AQ79" s="27" t="s">
        <v>58</v>
      </c>
      <c r="AR79" s="30" t="str">
        <f>"Mai "&amp;RIGHT('Kat. I'!$A$2-5,2)</f>
        <v>Mai -5</v>
      </c>
      <c r="AS79" s="31"/>
      <c r="AU79" s="27" t="s">
        <v>58</v>
      </c>
      <c r="AV79" s="30" t="str">
        <f>"Mai "&amp;RIGHT('Kat. I'!$A$2-6,2)</f>
        <v>Mai -6</v>
      </c>
      <c r="AW79" s="31"/>
      <c r="AY79" s="27" t="s">
        <v>58</v>
      </c>
      <c r="AZ79" s="30" t="str">
        <f>"Mai "&amp;RIGHT('Kat. I'!$A$2-7,2)</f>
        <v>Mai -7</v>
      </c>
      <c r="BA79" s="31"/>
    </row>
    <row r="80" spans="23:53">
      <c r="AA80" s="27" t="s">
        <v>58</v>
      </c>
      <c r="AB80" s="30" t="str">
        <f>"Juni "&amp;RIGHT('Kat. I'!$A$2-1,2)</f>
        <v>Juni -1</v>
      </c>
      <c r="AC80" s="31"/>
      <c r="AE80" s="27" t="s">
        <v>58</v>
      </c>
      <c r="AF80" s="30" t="str">
        <f>"Juni "&amp;RIGHT('Kat. I'!$A$2-2,2)</f>
        <v>Juni -2</v>
      </c>
      <c r="AG80" s="31"/>
      <c r="AI80" s="27" t="s">
        <v>58</v>
      </c>
      <c r="AJ80" s="30" t="str">
        <f>"Juni "&amp;RIGHT('Kat. I'!$A$2-3,2)</f>
        <v>Juni -3</v>
      </c>
      <c r="AK80" s="31"/>
      <c r="AM80" s="27" t="s">
        <v>58</v>
      </c>
      <c r="AN80" s="30" t="str">
        <f>"Juni "&amp;RIGHT('Kat. I'!$A$2-4,2)</f>
        <v>Juni -4</v>
      </c>
      <c r="AO80" s="31"/>
      <c r="AQ80" s="27" t="s">
        <v>58</v>
      </c>
      <c r="AR80" s="30" t="str">
        <f>"Juni "&amp;RIGHT('Kat. I'!$A$2-5,2)</f>
        <v>Juni -5</v>
      </c>
      <c r="AS80" s="31"/>
      <c r="AU80" s="27" t="s">
        <v>58</v>
      </c>
      <c r="AV80" s="30" t="str">
        <f>"Juni "&amp;RIGHT('Kat. I'!$A$2-6,2)</f>
        <v>Juni -6</v>
      </c>
      <c r="AW80" s="31"/>
      <c r="AY80" s="27" t="s">
        <v>58</v>
      </c>
      <c r="AZ80" s="30" t="str">
        <f>"Juni "&amp;RIGHT('Kat. I'!$A$2-7,2)</f>
        <v>Juni -7</v>
      </c>
      <c r="BA80" s="31"/>
    </row>
    <row r="81" spans="27:53">
      <c r="AA81" s="27" t="s">
        <v>58</v>
      </c>
      <c r="AB81" s="30" t="str">
        <f>"Juli "&amp;RIGHT('Kat. I'!$A$2-1,2)</f>
        <v>Juli -1</v>
      </c>
      <c r="AC81" s="31"/>
      <c r="AE81" s="27" t="s">
        <v>58</v>
      </c>
      <c r="AF81" s="30" t="str">
        <f>"Juli "&amp;RIGHT('Kat. I'!$A$2-2,2)</f>
        <v>Juli -2</v>
      </c>
      <c r="AG81" s="31"/>
      <c r="AI81" s="27" t="s">
        <v>58</v>
      </c>
      <c r="AJ81" s="30" t="str">
        <f>"Juli "&amp;RIGHT('Kat. I'!$A$2-3,2)</f>
        <v>Juli -3</v>
      </c>
      <c r="AK81" s="31"/>
      <c r="AM81" s="27" t="s">
        <v>58</v>
      </c>
      <c r="AN81" s="30" t="str">
        <f>"Juli "&amp;RIGHT('Kat. I'!$A$2-4,2)</f>
        <v>Juli -4</v>
      </c>
      <c r="AO81" s="31"/>
      <c r="AQ81" s="27" t="s">
        <v>58</v>
      </c>
      <c r="AR81" s="30" t="str">
        <f>"Juli "&amp;RIGHT('Kat. I'!$A$2-5,2)</f>
        <v>Juli -5</v>
      </c>
      <c r="AS81" s="31"/>
      <c r="AU81" s="27" t="s">
        <v>58</v>
      </c>
      <c r="AV81" s="30" t="str">
        <f>"Juli "&amp;RIGHT('Kat. I'!$A$2-6,2)</f>
        <v>Juli -6</v>
      </c>
      <c r="AW81" s="31"/>
      <c r="AY81" s="27" t="s">
        <v>58</v>
      </c>
      <c r="AZ81" s="30" t="str">
        <f>"Juli "&amp;RIGHT('Kat. I'!$A$2-7,2)</f>
        <v>Juli -7</v>
      </c>
      <c r="BA81" s="31"/>
    </row>
    <row r="82" spans="27:53">
      <c r="AA82" s="27" t="s">
        <v>58</v>
      </c>
      <c r="AB82" s="30" t="str">
        <f>"Aug. "&amp;RIGHT('Kat. I'!$A$2-1,2)</f>
        <v>Aug. -1</v>
      </c>
      <c r="AC82" s="31"/>
      <c r="AE82" s="27" t="s">
        <v>58</v>
      </c>
      <c r="AF82" s="30" t="str">
        <f>"Aug. "&amp;RIGHT('Kat. I'!$A$2-2,2)</f>
        <v>Aug. -2</v>
      </c>
      <c r="AG82" s="31"/>
      <c r="AI82" s="27" t="s">
        <v>58</v>
      </c>
      <c r="AJ82" s="30" t="str">
        <f>"Aug. "&amp;RIGHT('Kat. I'!$A$2-3,2)</f>
        <v>Aug. -3</v>
      </c>
      <c r="AK82" s="31"/>
      <c r="AM82" s="27" t="s">
        <v>58</v>
      </c>
      <c r="AN82" s="30" t="str">
        <f>"Aug. "&amp;RIGHT('Kat. I'!$A$2-4,2)</f>
        <v>Aug. -4</v>
      </c>
      <c r="AO82" s="31"/>
      <c r="AQ82" s="27" t="s">
        <v>58</v>
      </c>
      <c r="AR82" s="30" t="str">
        <f>"Aug. "&amp;RIGHT('Kat. I'!$A$2-5,2)</f>
        <v>Aug. -5</v>
      </c>
      <c r="AS82" s="31"/>
      <c r="AU82" s="27" t="s">
        <v>58</v>
      </c>
      <c r="AV82" s="30" t="str">
        <f>"Aug. "&amp;RIGHT('Kat. I'!$A$2-6,2)</f>
        <v>Aug. -6</v>
      </c>
      <c r="AW82" s="31"/>
      <c r="AY82" s="27" t="s">
        <v>58</v>
      </c>
      <c r="AZ82" s="30" t="str">
        <f>"Aug. "&amp;RIGHT('Kat. I'!$A$2-7,2)</f>
        <v>Aug. -7</v>
      </c>
      <c r="BA82" s="31"/>
    </row>
    <row r="83" spans="27:53">
      <c r="AA83" s="27" t="s">
        <v>58</v>
      </c>
      <c r="AB83" s="30" t="str">
        <f>"Sept. "&amp;RIGHT('Kat. I'!$A$2-1,2)</f>
        <v>Sept. -1</v>
      </c>
      <c r="AC83" s="31"/>
      <c r="AE83" s="27" t="s">
        <v>58</v>
      </c>
      <c r="AF83" s="30" t="str">
        <f>"Sept. "&amp;RIGHT('Kat. I'!$A$2-2,2)</f>
        <v>Sept. -2</v>
      </c>
      <c r="AG83" s="31"/>
      <c r="AI83" s="27" t="s">
        <v>58</v>
      </c>
      <c r="AJ83" s="30" t="str">
        <f>"Sept. "&amp;RIGHT('Kat. I'!$A$2-3,2)</f>
        <v>Sept. -3</v>
      </c>
      <c r="AK83" s="31"/>
      <c r="AM83" s="27" t="s">
        <v>58</v>
      </c>
      <c r="AN83" s="30" t="str">
        <f>"Sept. "&amp;RIGHT('Kat. I'!$A$2-4,2)</f>
        <v>Sept. -4</v>
      </c>
      <c r="AO83" s="31"/>
      <c r="AQ83" s="27" t="s">
        <v>58</v>
      </c>
      <c r="AR83" s="30" t="str">
        <f>"Sept. "&amp;RIGHT('Kat. I'!$A$2-5,2)</f>
        <v>Sept. -5</v>
      </c>
      <c r="AS83" s="31"/>
      <c r="AU83" s="27" t="s">
        <v>58</v>
      </c>
      <c r="AV83" s="30" t="str">
        <f>"Sept. "&amp;RIGHT('Kat. I'!$A$2-6,2)</f>
        <v>Sept. -6</v>
      </c>
      <c r="AW83" s="31"/>
      <c r="AY83" s="27" t="s">
        <v>58</v>
      </c>
      <c r="AZ83" s="30" t="str">
        <f>"Sept. "&amp;RIGHT('Kat. I'!$A$2-7,2)</f>
        <v>Sept. -7</v>
      </c>
      <c r="BA83" s="31"/>
    </row>
    <row r="84" spans="27:53">
      <c r="AA84" s="27" t="s">
        <v>58</v>
      </c>
      <c r="AB84" s="30" t="str">
        <f>"Okt. "&amp;RIGHT('Kat. I'!$A$2-1,2)</f>
        <v>Okt. -1</v>
      </c>
      <c r="AC84" s="31"/>
      <c r="AE84" s="27" t="s">
        <v>58</v>
      </c>
      <c r="AF84" s="30" t="str">
        <f>"Okt. "&amp;RIGHT('Kat. I'!$A$2-2,2)</f>
        <v>Okt. -2</v>
      </c>
      <c r="AG84" s="31"/>
      <c r="AI84" s="27" t="s">
        <v>58</v>
      </c>
      <c r="AJ84" s="30" t="str">
        <f>"Okt. "&amp;RIGHT('Kat. I'!$A$2-3,2)</f>
        <v>Okt. -3</v>
      </c>
      <c r="AK84" s="31"/>
      <c r="AM84" s="27" t="s">
        <v>58</v>
      </c>
      <c r="AN84" s="30" t="str">
        <f>"Okt. "&amp;RIGHT('Kat. I'!$A$2-4,2)</f>
        <v>Okt. -4</v>
      </c>
      <c r="AO84" s="31"/>
      <c r="AQ84" s="27" t="s">
        <v>58</v>
      </c>
      <c r="AR84" s="30" t="str">
        <f>"Okt. "&amp;RIGHT('Kat. I'!$A$2-5,2)</f>
        <v>Okt. -5</v>
      </c>
      <c r="AS84" s="31"/>
      <c r="AU84" s="27" t="s">
        <v>58</v>
      </c>
      <c r="AV84" s="30" t="str">
        <f>"Okt. "&amp;RIGHT('Kat. I'!$A$2-6,2)</f>
        <v>Okt. -6</v>
      </c>
      <c r="AW84" s="31"/>
      <c r="AY84" s="27" t="s">
        <v>58</v>
      </c>
      <c r="AZ84" s="30" t="str">
        <f>"Okt. "&amp;RIGHT('Kat. I'!$A$2-7,2)</f>
        <v>Okt. -7</v>
      </c>
      <c r="BA84" s="31"/>
    </row>
    <row r="85" spans="27:53">
      <c r="AA85" s="27" t="s">
        <v>58</v>
      </c>
      <c r="AB85" s="30" t="str">
        <f>"Nov. "&amp;RIGHT('Kat. I'!$A$2-1,2)</f>
        <v>Nov. -1</v>
      </c>
      <c r="AC85" s="31"/>
      <c r="AE85" s="27" t="s">
        <v>58</v>
      </c>
      <c r="AF85" s="30" t="str">
        <f>"Nov. "&amp;RIGHT('Kat. I'!$A$2-2,2)</f>
        <v>Nov. -2</v>
      </c>
      <c r="AG85" s="31"/>
      <c r="AI85" s="27" t="s">
        <v>58</v>
      </c>
      <c r="AJ85" s="30" t="str">
        <f>"Nov. "&amp;RIGHT('Kat. I'!$A$2-3,2)</f>
        <v>Nov. -3</v>
      </c>
      <c r="AK85" s="31"/>
      <c r="AM85" s="27" t="s">
        <v>58</v>
      </c>
      <c r="AN85" s="30" t="str">
        <f>"Nov. "&amp;RIGHT('Kat. I'!$A$2-4,2)</f>
        <v>Nov. -4</v>
      </c>
      <c r="AO85" s="31"/>
      <c r="AQ85" s="27" t="s">
        <v>58</v>
      </c>
      <c r="AR85" s="30" t="str">
        <f>"Nov. "&amp;RIGHT('Kat. I'!$A$2-5,2)</f>
        <v>Nov. -5</v>
      </c>
      <c r="AS85" s="31"/>
      <c r="AU85" s="27" t="s">
        <v>58</v>
      </c>
      <c r="AV85" s="30" t="str">
        <f>"Nov. "&amp;RIGHT('Kat. I'!$A$2-6,2)</f>
        <v>Nov. -6</v>
      </c>
      <c r="AW85" s="31"/>
      <c r="AY85" s="27" t="s">
        <v>58</v>
      </c>
      <c r="AZ85" s="30" t="str">
        <f>"Nov. "&amp;RIGHT('Kat. I'!$A$2-7,2)</f>
        <v>Nov. -7</v>
      </c>
      <c r="BA85" s="31"/>
    </row>
    <row r="86" spans="27:53">
      <c r="AA86" s="27" t="s">
        <v>58</v>
      </c>
      <c r="AB86" s="30" t="str">
        <f>"Dez. "&amp;RIGHT('Kat. I'!$A$2-1,2)</f>
        <v>Dez. -1</v>
      </c>
      <c r="AC86" s="31"/>
      <c r="AE86" s="27" t="s">
        <v>58</v>
      </c>
      <c r="AF86" s="30" t="str">
        <f>"Dez. "&amp;RIGHT('Kat. I'!$A$2-2,2)</f>
        <v>Dez. -2</v>
      </c>
      <c r="AG86" s="31"/>
      <c r="AI86" s="27" t="s">
        <v>58</v>
      </c>
      <c r="AJ86" s="30" t="str">
        <f>"Dez. "&amp;RIGHT('Kat. I'!$A$2-3,2)</f>
        <v>Dez. -3</v>
      </c>
      <c r="AK86" s="31"/>
      <c r="AM86" s="27" t="s">
        <v>58</v>
      </c>
      <c r="AN86" s="30" t="str">
        <f>"Dez. "&amp;RIGHT('Kat. I'!$A$2-4,2)</f>
        <v>Dez. -4</v>
      </c>
      <c r="AO86" s="31"/>
      <c r="AQ86" s="27" t="s">
        <v>58</v>
      </c>
      <c r="AR86" s="30" t="str">
        <f>"Dez. "&amp;RIGHT('Kat. I'!$A$2-5,2)</f>
        <v>Dez. -5</v>
      </c>
      <c r="AS86" s="31"/>
      <c r="AU86" s="27" t="s">
        <v>58</v>
      </c>
      <c r="AV86" s="30" t="str">
        <f>"Dez. "&amp;RIGHT('Kat. I'!$A$2-6,2)</f>
        <v>Dez. -6</v>
      </c>
      <c r="AW86" s="31"/>
      <c r="AY86" s="27" t="s">
        <v>58</v>
      </c>
      <c r="AZ86" s="30" t="str">
        <f>"Dez. "&amp;RIGHT('Kat. I'!$A$2-7,2)</f>
        <v>Dez. -7</v>
      </c>
      <c r="BA86" s="31"/>
    </row>
    <row r="87" spans="27:53">
      <c r="AE87" s="27" t="s">
        <v>58</v>
      </c>
      <c r="AF87" s="32" t="str">
        <f>"Jan. "&amp;RIGHT('Kat. I'!$A$2-1,2)</f>
        <v>Jan. -1</v>
      </c>
      <c r="AG87" s="31"/>
      <c r="AI87" s="27" t="s">
        <v>58</v>
      </c>
      <c r="AJ87" s="32" t="str">
        <f>"Jan. "&amp;RIGHT('Kat. I'!$A$2-2,2)</f>
        <v>Jan. -2</v>
      </c>
      <c r="AK87" s="31"/>
      <c r="AM87" s="27" t="s">
        <v>58</v>
      </c>
      <c r="AN87" s="32" t="str">
        <f>"Jan. "&amp;RIGHT('Kat. I'!$A$2-3,2)</f>
        <v>Jan. -3</v>
      </c>
      <c r="AO87" s="31"/>
      <c r="AQ87" s="27" t="s">
        <v>58</v>
      </c>
      <c r="AR87" s="32" t="str">
        <f>"Jan. "&amp;RIGHT('Kat. I'!$A$2-4,2)</f>
        <v>Jan. -4</v>
      </c>
      <c r="AS87" s="31"/>
      <c r="AU87" s="27" t="s">
        <v>58</v>
      </c>
      <c r="AV87" s="32" t="str">
        <f>"Jan. "&amp;RIGHT('Kat. I'!$A$2-5,2)</f>
        <v>Jan. -5</v>
      </c>
      <c r="AW87" s="31"/>
      <c r="AY87" s="27" t="s">
        <v>58</v>
      </c>
      <c r="AZ87" s="32" t="str">
        <f>"Jan. "&amp;RIGHT('Kat. I'!$A$2-6,2)</f>
        <v>Jan. -6</v>
      </c>
      <c r="BA87" s="31"/>
    </row>
    <row r="88" spans="27:53">
      <c r="AE88" s="27" t="s">
        <v>58</v>
      </c>
      <c r="AF88" s="32" t="str">
        <f>"Feb. "&amp;RIGHT('Kat. I'!$A$2-1,2)</f>
        <v>Feb. -1</v>
      </c>
      <c r="AG88" s="31"/>
      <c r="AI88" s="27" t="s">
        <v>58</v>
      </c>
      <c r="AJ88" s="32" t="str">
        <f>"Feb. "&amp;RIGHT('Kat. I'!$A$2-2,2)</f>
        <v>Feb. -2</v>
      </c>
      <c r="AK88" s="31"/>
      <c r="AM88" s="27" t="s">
        <v>58</v>
      </c>
      <c r="AN88" s="32" t="str">
        <f>"Feb. "&amp;RIGHT('Kat. I'!$A$2-3,2)</f>
        <v>Feb. -3</v>
      </c>
      <c r="AO88" s="31"/>
      <c r="AQ88" s="27" t="s">
        <v>58</v>
      </c>
      <c r="AR88" s="32" t="str">
        <f>"Feb. "&amp;RIGHT('Kat. I'!$A$2-4,2)</f>
        <v>Feb. -4</v>
      </c>
      <c r="AS88" s="31"/>
      <c r="AU88" s="27" t="s">
        <v>58</v>
      </c>
      <c r="AV88" s="32" t="str">
        <f>"Feb. "&amp;RIGHT('Kat. I'!$A$2-5,2)</f>
        <v>Feb. -5</v>
      </c>
      <c r="AW88" s="31"/>
      <c r="AY88" s="27" t="s">
        <v>58</v>
      </c>
      <c r="AZ88" s="32" t="str">
        <f>"Feb. "&amp;RIGHT('Kat. I'!$A$2-6,2)</f>
        <v>Feb. -6</v>
      </c>
      <c r="BA88" s="31"/>
    </row>
    <row r="89" spans="27:53">
      <c r="AE89" s="27" t="s">
        <v>58</v>
      </c>
      <c r="AF89" s="32" t="str">
        <f>"März "&amp;RIGHT('Kat. I'!$A$2-1,2)</f>
        <v>März -1</v>
      </c>
      <c r="AG89" s="31"/>
      <c r="AI89" s="27" t="s">
        <v>58</v>
      </c>
      <c r="AJ89" s="32" t="str">
        <f>"März "&amp;RIGHT('Kat. I'!$A$2-2,2)</f>
        <v>März -2</v>
      </c>
      <c r="AK89" s="31"/>
      <c r="AM89" s="27" t="s">
        <v>58</v>
      </c>
      <c r="AN89" s="32" t="str">
        <f>"März "&amp;RIGHT('Kat. I'!$A$2-3,2)</f>
        <v>März -3</v>
      </c>
      <c r="AO89" s="31"/>
      <c r="AQ89" s="27" t="s">
        <v>58</v>
      </c>
      <c r="AR89" s="32" t="str">
        <f>"März "&amp;RIGHT('Kat. I'!$A$2-4,2)</f>
        <v>März -4</v>
      </c>
      <c r="AS89" s="31"/>
      <c r="AU89" s="27" t="s">
        <v>58</v>
      </c>
      <c r="AV89" s="32" t="str">
        <f>"März "&amp;RIGHT('Kat. I'!$A$2-5,2)</f>
        <v>März -5</v>
      </c>
      <c r="AW89" s="31"/>
      <c r="AY89" s="27" t="s">
        <v>58</v>
      </c>
      <c r="AZ89" s="32" t="str">
        <f>"März "&amp;RIGHT('Kat. I'!$A$2-6,2)</f>
        <v>März -6</v>
      </c>
      <c r="BA89" s="31"/>
    </row>
    <row r="90" spans="27:53">
      <c r="AE90" s="27" t="s">
        <v>58</v>
      </c>
      <c r="AF90" s="32" t="str">
        <f>"April "&amp;RIGHT('Kat. I'!$A$2-1,2)</f>
        <v>April -1</v>
      </c>
      <c r="AG90" s="31"/>
      <c r="AI90" s="27" t="s">
        <v>58</v>
      </c>
      <c r="AJ90" s="32" t="str">
        <f>"April "&amp;RIGHT('Kat. I'!$A$2-2,2)</f>
        <v>April -2</v>
      </c>
      <c r="AK90" s="31"/>
      <c r="AM90" s="27" t="s">
        <v>58</v>
      </c>
      <c r="AN90" s="32" t="str">
        <f>"April "&amp;RIGHT('Kat. I'!$A$2-3,2)</f>
        <v>April -3</v>
      </c>
      <c r="AO90" s="31"/>
      <c r="AQ90" s="27" t="s">
        <v>58</v>
      </c>
      <c r="AR90" s="32" t="str">
        <f>"April "&amp;RIGHT('Kat. I'!$A$2-4,2)</f>
        <v>April -4</v>
      </c>
      <c r="AS90" s="31"/>
      <c r="AU90" s="27" t="s">
        <v>58</v>
      </c>
      <c r="AV90" s="32" t="str">
        <f>"April "&amp;RIGHT('Kat. I'!$A$2-5,2)</f>
        <v>April -5</v>
      </c>
      <c r="AW90" s="31"/>
      <c r="AY90" s="27" t="s">
        <v>58</v>
      </c>
      <c r="AZ90" s="32" t="str">
        <f>"April "&amp;RIGHT('Kat. I'!$A$2-6,2)</f>
        <v>April -6</v>
      </c>
      <c r="BA90" s="31"/>
    </row>
    <row r="91" spans="27:53">
      <c r="AE91" s="27" t="s">
        <v>58</v>
      </c>
      <c r="AF91" s="32" t="str">
        <f>"Mai "&amp;RIGHT('Kat. I'!$A$2-1,2)</f>
        <v>Mai -1</v>
      </c>
      <c r="AG91" s="31"/>
      <c r="AI91" s="27" t="s">
        <v>58</v>
      </c>
      <c r="AJ91" s="32" t="str">
        <f>"Mai "&amp;RIGHT('Kat. I'!$A$2-2,2)</f>
        <v>Mai -2</v>
      </c>
      <c r="AK91" s="31"/>
      <c r="AM91" s="27" t="s">
        <v>58</v>
      </c>
      <c r="AN91" s="32" t="str">
        <f>"Mai "&amp;RIGHT('Kat. I'!$A$2-3,2)</f>
        <v>Mai -3</v>
      </c>
      <c r="AO91" s="31"/>
      <c r="AQ91" s="27" t="s">
        <v>58</v>
      </c>
      <c r="AR91" s="32" t="str">
        <f>"Mai "&amp;RIGHT('Kat. I'!$A$2-4,2)</f>
        <v>Mai -4</v>
      </c>
      <c r="AS91" s="31"/>
      <c r="AU91" s="27" t="s">
        <v>58</v>
      </c>
      <c r="AV91" s="32" t="str">
        <f>"Mai "&amp;RIGHT('Kat. I'!$A$2-5,2)</f>
        <v>Mai -5</v>
      </c>
      <c r="AW91" s="31"/>
      <c r="AY91" s="27" t="s">
        <v>58</v>
      </c>
      <c r="AZ91" s="32" t="str">
        <f>"Mai "&amp;RIGHT('Kat. I'!$A$2-6,2)</f>
        <v>Mai -6</v>
      </c>
      <c r="BA91" s="31"/>
    </row>
    <row r="92" spans="27:53">
      <c r="AE92" s="27" t="s">
        <v>58</v>
      </c>
      <c r="AF92" s="32" t="str">
        <f>"Juni "&amp;RIGHT('Kat. I'!$A$2-1,2)</f>
        <v>Juni -1</v>
      </c>
      <c r="AG92" s="31"/>
      <c r="AI92" s="27" t="s">
        <v>58</v>
      </c>
      <c r="AJ92" s="32" t="str">
        <f>"Juni "&amp;RIGHT('Kat. I'!$A$2-2,2)</f>
        <v>Juni -2</v>
      </c>
      <c r="AK92" s="31"/>
      <c r="AM92" s="27" t="s">
        <v>58</v>
      </c>
      <c r="AN92" s="32" t="str">
        <f>"Juni "&amp;RIGHT('Kat. I'!$A$2-3,2)</f>
        <v>Juni -3</v>
      </c>
      <c r="AO92" s="31"/>
      <c r="AQ92" s="27" t="s">
        <v>58</v>
      </c>
      <c r="AR92" s="32" t="str">
        <f>"Juni "&amp;RIGHT('Kat. I'!$A$2-4,2)</f>
        <v>Juni -4</v>
      </c>
      <c r="AS92" s="31"/>
      <c r="AU92" s="27" t="s">
        <v>58</v>
      </c>
      <c r="AV92" s="32" t="str">
        <f>"Juni "&amp;RIGHT('Kat. I'!$A$2-5,2)</f>
        <v>Juni -5</v>
      </c>
      <c r="AW92" s="31"/>
      <c r="AY92" s="27" t="s">
        <v>58</v>
      </c>
      <c r="AZ92" s="32" t="str">
        <f>"Juni "&amp;RIGHT('Kat. I'!$A$2-6,2)</f>
        <v>Juni -6</v>
      </c>
      <c r="BA92" s="31"/>
    </row>
    <row r="93" spans="27:53">
      <c r="AE93" s="27" t="s">
        <v>58</v>
      </c>
      <c r="AF93" s="32" t="str">
        <f>"Juli "&amp;RIGHT('Kat. I'!$A$2-1,2)</f>
        <v>Juli -1</v>
      </c>
      <c r="AG93" s="31"/>
      <c r="AI93" s="27" t="s">
        <v>58</v>
      </c>
      <c r="AJ93" s="32" t="str">
        <f>"Juli "&amp;RIGHT('Kat. I'!$A$2-2,2)</f>
        <v>Juli -2</v>
      </c>
      <c r="AK93" s="31"/>
      <c r="AM93" s="27" t="s">
        <v>58</v>
      </c>
      <c r="AN93" s="32" t="str">
        <f>"Juli "&amp;RIGHT('Kat. I'!$A$2-3,2)</f>
        <v>Juli -3</v>
      </c>
      <c r="AO93" s="31"/>
      <c r="AQ93" s="27" t="s">
        <v>58</v>
      </c>
      <c r="AR93" s="32" t="str">
        <f>"Juli "&amp;RIGHT('Kat. I'!$A$2-4,2)</f>
        <v>Juli -4</v>
      </c>
      <c r="AS93" s="31"/>
      <c r="AU93" s="27" t="s">
        <v>58</v>
      </c>
      <c r="AV93" s="32" t="str">
        <f>"Juli "&amp;RIGHT('Kat. I'!$A$2-5,2)</f>
        <v>Juli -5</v>
      </c>
      <c r="AW93" s="31"/>
      <c r="AY93" s="27" t="s">
        <v>58</v>
      </c>
      <c r="AZ93" s="32" t="str">
        <f>"Juli "&amp;RIGHT('Kat. I'!$A$2-6,2)</f>
        <v>Juli -6</v>
      </c>
      <c r="BA93" s="31"/>
    </row>
    <row r="94" spans="27:53">
      <c r="AE94" s="27" t="s">
        <v>58</v>
      </c>
      <c r="AF94" s="32" t="str">
        <f>"Aug. "&amp;RIGHT('Kat. I'!$A$2-1,2)</f>
        <v>Aug. -1</v>
      </c>
      <c r="AG94" s="31"/>
      <c r="AI94" s="27" t="s">
        <v>58</v>
      </c>
      <c r="AJ94" s="32" t="str">
        <f>"Aug. "&amp;RIGHT('Kat. I'!$A$2-2,2)</f>
        <v>Aug. -2</v>
      </c>
      <c r="AK94" s="31"/>
      <c r="AM94" s="27" t="s">
        <v>58</v>
      </c>
      <c r="AN94" s="32" t="str">
        <f>"Aug. "&amp;RIGHT('Kat. I'!$A$2-3,2)</f>
        <v>Aug. -3</v>
      </c>
      <c r="AO94" s="31"/>
      <c r="AQ94" s="27" t="s">
        <v>58</v>
      </c>
      <c r="AR94" s="32" t="str">
        <f>"Aug. "&amp;RIGHT('Kat. I'!$A$2-4,2)</f>
        <v>Aug. -4</v>
      </c>
      <c r="AS94" s="31"/>
      <c r="AU94" s="27" t="s">
        <v>58</v>
      </c>
      <c r="AV94" s="32" t="str">
        <f>"Aug. "&amp;RIGHT('Kat. I'!$A$2-5,2)</f>
        <v>Aug. -5</v>
      </c>
      <c r="AW94" s="31"/>
      <c r="AY94" s="27" t="s">
        <v>58</v>
      </c>
      <c r="AZ94" s="32" t="str">
        <f>"Aug. "&amp;RIGHT('Kat. I'!$A$2-6,2)</f>
        <v>Aug. -6</v>
      </c>
      <c r="BA94" s="31"/>
    </row>
    <row r="95" spans="27:53">
      <c r="AE95" s="27" t="s">
        <v>58</v>
      </c>
      <c r="AF95" s="32" t="str">
        <f>"Sept. "&amp;RIGHT('Kat. I'!$A$2-1,2)</f>
        <v>Sept. -1</v>
      </c>
      <c r="AG95" s="31"/>
      <c r="AI95" s="27" t="s">
        <v>58</v>
      </c>
      <c r="AJ95" s="32" t="str">
        <f>"Sept. "&amp;RIGHT('Kat. I'!$A$2-2,2)</f>
        <v>Sept. -2</v>
      </c>
      <c r="AK95" s="31"/>
      <c r="AM95" s="27" t="s">
        <v>58</v>
      </c>
      <c r="AN95" s="32" t="str">
        <f>"Sept. "&amp;RIGHT('Kat. I'!$A$2-3,2)</f>
        <v>Sept. -3</v>
      </c>
      <c r="AO95" s="31"/>
      <c r="AQ95" s="27" t="s">
        <v>58</v>
      </c>
      <c r="AR95" s="32" t="str">
        <f>"Sept. "&amp;RIGHT('Kat. I'!$A$2-4,2)</f>
        <v>Sept. -4</v>
      </c>
      <c r="AS95" s="31"/>
      <c r="AU95" s="27" t="s">
        <v>58</v>
      </c>
      <c r="AV95" s="32" t="str">
        <f>"Sept. "&amp;RIGHT('Kat. I'!$A$2-5,2)</f>
        <v>Sept. -5</v>
      </c>
      <c r="AW95" s="31"/>
      <c r="AY95" s="27" t="s">
        <v>58</v>
      </c>
      <c r="AZ95" s="32" t="str">
        <f>"Sept. "&amp;RIGHT('Kat. I'!$A$2-6,2)</f>
        <v>Sept. -6</v>
      </c>
      <c r="BA95" s="31"/>
    </row>
    <row r="96" spans="27:53">
      <c r="AE96" s="27" t="s">
        <v>58</v>
      </c>
      <c r="AF96" s="32" t="str">
        <f>"Okt. "&amp;RIGHT('Kat. I'!$A$2-1,2)</f>
        <v>Okt. -1</v>
      </c>
      <c r="AG96" s="31"/>
      <c r="AI96" s="27" t="s">
        <v>58</v>
      </c>
      <c r="AJ96" s="32" t="str">
        <f>"Okt. "&amp;RIGHT('Kat. I'!$A$2-2,2)</f>
        <v>Okt. -2</v>
      </c>
      <c r="AK96" s="31"/>
      <c r="AM96" s="27" t="s">
        <v>58</v>
      </c>
      <c r="AN96" s="32" t="str">
        <f>"Okt. "&amp;RIGHT('Kat. I'!$A$2-3,2)</f>
        <v>Okt. -3</v>
      </c>
      <c r="AO96" s="31"/>
      <c r="AQ96" s="27" t="s">
        <v>58</v>
      </c>
      <c r="AR96" s="32" t="str">
        <f>"Okt. "&amp;RIGHT('Kat. I'!$A$2-4,2)</f>
        <v>Okt. -4</v>
      </c>
      <c r="AS96" s="31"/>
      <c r="AU96" s="27" t="s">
        <v>58</v>
      </c>
      <c r="AV96" s="32" t="str">
        <f>"Okt. "&amp;RIGHT('Kat. I'!$A$2-5,2)</f>
        <v>Okt. -5</v>
      </c>
      <c r="AW96" s="31"/>
      <c r="AY96" s="27" t="s">
        <v>58</v>
      </c>
      <c r="AZ96" s="32" t="str">
        <f>"Okt. "&amp;RIGHT('Kat. I'!$A$2-6,2)</f>
        <v>Okt. -6</v>
      </c>
      <c r="BA96" s="31"/>
    </row>
    <row r="97" spans="31:53">
      <c r="AE97" s="27" t="s">
        <v>58</v>
      </c>
      <c r="AF97" s="32" t="str">
        <f>"Nov. "&amp;RIGHT('Kat. I'!$A$2-1,2)</f>
        <v>Nov. -1</v>
      </c>
      <c r="AG97" s="31"/>
      <c r="AI97" s="27" t="s">
        <v>58</v>
      </c>
      <c r="AJ97" s="32" t="str">
        <f>"Nov. "&amp;RIGHT('Kat. I'!$A$2-2,2)</f>
        <v>Nov. -2</v>
      </c>
      <c r="AK97" s="31"/>
      <c r="AM97" s="27" t="s">
        <v>58</v>
      </c>
      <c r="AN97" s="32" t="str">
        <f>"Nov. "&amp;RIGHT('Kat. I'!$A$2-3,2)</f>
        <v>Nov. -3</v>
      </c>
      <c r="AO97" s="31"/>
      <c r="AQ97" s="27" t="s">
        <v>58</v>
      </c>
      <c r="AR97" s="32" t="str">
        <f>"Nov. "&amp;RIGHT('Kat. I'!$A$2-4,2)</f>
        <v>Nov. -4</v>
      </c>
      <c r="AS97" s="31"/>
      <c r="AU97" s="27" t="s">
        <v>58</v>
      </c>
      <c r="AV97" s="32" t="str">
        <f>"Nov. "&amp;RIGHT('Kat. I'!$A$2-5,2)</f>
        <v>Nov. -5</v>
      </c>
      <c r="AW97" s="31"/>
      <c r="AY97" s="27" t="s">
        <v>58</v>
      </c>
      <c r="AZ97" s="32" t="str">
        <f>"Nov. "&amp;RIGHT('Kat. I'!$A$2-6,2)</f>
        <v>Nov. -6</v>
      </c>
      <c r="BA97" s="31"/>
    </row>
    <row r="98" spans="31:53">
      <c r="AE98" s="27" t="s">
        <v>58</v>
      </c>
      <c r="AF98" s="32" t="str">
        <f>"Dez. "&amp;RIGHT('Kat. I'!$A$2-1,2)</f>
        <v>Dez. -1</v>
      </c>
      <c r="AG98" s="31"/>
      <c r="AI98" s="27" t="s">
        <v>58</v>
      </c>
      <c r="AJ98" s="32" t="str">
        <f>"Dez. "&amp;RIGHT('Kat. I'!$A$2-2,2)</f>
        <v>Dez. -2</v>
      </c>
      <c r="AK98" s="31"/>
      <c r="AM98" s="27" t="s">
        <v>58</v>
      </c>
      <c r="AN98" s="32" t="str">
        <f>"Dez. "&amp;RIGHT('Kat. I'!$A$2-3,2)</f>
        <v>Dez. -3</v>
      </c>
      <c r="AO98" s="31"/>
      <c r="AQ98" s="27" t="s">
        <v>58</v>
      </c>
      <c r="AR98" s="32" t="str">
        <f>"Dez. "&amp;RIGHT('Kat. I'!$A$2-4,2)</f>
        <v>Dez. -4</v>
      </c>
      <c r="AS98" s="31"/>
      <c r="AU98" s="27" t="s">
        <v>58</v>
      </c>
      <c r="AV98" s="32" t="str">
        <f>"Dez. "&amp;RIGHT('Kat. I'!$A$2-5,2)</f>
        <v>Dez. -5</v>
      </c>
      <c r="AW98" s="31"/>
      <c r="AY98" s="27" t="s">
        <v>58</v>
      </c>
      <c r="AZ98" s="32" t="str">
        <f>"Dez. "&amp;RIGHT('Kat. I'!$A$2-6,2)</f>
        <v>Dez. -6</v>
      </c>
      <c r="BA98" s="31"/>
    </row>
    <row r="99" spans="31:53">
      <c r="AI99" s="27" t="s">
        <v>58</v>
      </c>
      <c r="AJ99" s="30" t="str">
        <f>"Jan. "&amp;RIGHT('Kat. I'!$A$2-1,2)</f>
        <v>Jan. -1</v>
      </c>
      <c r="AK99" s="31"/>
      <c r="AM99" s="27" t="s">
        <v>58</v>
      </c>
      <c r="AN99" s="30" t="str">
        <f>"Jan. "&amp;RIGHT('Kat. I'!$A$2-2,2)</f>
        <v>Jan. -2</v>
      </c>
      <c r="AO99" s="31"/>
      <c r="AQ99" s="27" t="s">
        <v>58</v>
      </c>
      <c r="AR99" s="30" t="str">
        <f>"Jan. "&amp;RIGHT('Kat. I'!$A$2-3,2)</f>
        <v>Jan. -3</v>
      </c>
      <c r="AS99" s="31"/>
      <c r="AU99" s="27" t="s">
        <v>58</v>
      </c>
      <c r="AV99" s="30" t="str">
        <f>"Jan. "&amp;RIGHT('Kat. I'!$A$2-4,2)</f>
        <v>Jan. -4</v>
      </c>
      <c r="AW99" s="31"/>
      <c r="AY99" s="27" t="s">
        <v>58</v>
      </c>
      <c r="AZ99" s="30" t="str">
        <f>"Jan. "&amp;RIGHT('Kat. I'!$A$2-5,2)</f>
        <v>Jan. -5</v>
      </c>
      <c r="BA99" s="31"/>
    </row>
    <row r="100" spans="31:53">
      <c r="AI100" s="27" t="s">
        <v>58</v>
      </c>
      <c r="AJ100" s="30" t="str">
        <f>"Feb. "&amp;RIGHT('Kat. I'!$A$2-1,2)</f>
        <v>Feb. -1</v>
      </c>
      <c r="AK100" s="31"/>
      <c r="AM100" s="27" t="s">
        <v>58</v>
      </c>
      <c r="AN100" s="30" t="str">
        <f>"Feb. "&amp;RIGHT('Kat. I'!$A$2-2,2)</f>
        <v>Feb. -2</v>
      </c>
      <c r="AO100" s="31"/>
      <c r="AQ100" s="27" t="s">
        <v>58</v>
      </c>
      <c r="AR100" s="30" t="str">
        <f>"Feb. "&amp;RIGHT('Kat. I'!$A$2-3,2)</f>
        <v>Feb. -3</v>
      </c>
      <c r="AS100" s="31"/>
      <c r="AU100" s="27" t="s">
        <v>58</v>
      </c>
      <c r="AV100" s="30" t="str">
        <f>"Feb. "&amp;RIGHT('Kat. I'!$A$2-4,2)</f>
        <v>Feb. -4</v>
      </c>
      <c r="AW100" s="31"/>
      <c r="AY100" s="27" t="s">
        <v>58</v>
      </c>
      <c r="AZ100" s="30" t="str">
        <f>"Feb. "&amp;RIGHT('Kat. I'!$A$2-5,2)</f>
        <v>Feb. -5</v>
      </c>
      <c r="BA100" s="31"/>
    </row>
    <row r="101" spans="31:53">
      <c r="AI101" s="27" t="s">
        <v>58</v>
      </c>
      <c r="AJ101" s="30" t="str">
        <f>"März "&amp;RIGHT('Kat. I'!$A$2-1,2)</f>
        <v>März -1</v>
      </c>
      <c r="AK101" s="31"/>
      <c r="AM101" s="27" t="s">
        <v>58</v>
      </c>
      <c r="AN101" s="30" t="str">
        <f>"März "&amp;RIGHT('Kat. I'!$A$2-2,2)</f>
        <v>März -2</v>
      </c>
      <c r="AO101" s="31"/>
      <c r="AQ101" s="27" t="s">
        <v>58</v>
      </c>
      <c r="AR101" s="30" t="str">
        <f>"März "&amp;RIGHT('Kat. I'!$A$2-3,2)</f>
        <v>März -3</v>
      </c>
      <c r="AS101" s="31"/>
      <c r="AU101" s="27" t="s">
        <v>58</v>
      </c>
      <c r="AV101" s="30" t="str">
        <f>"März "&amp;RIGHT('Kat. I'!$A$2-4,2)</f>
        <v>März -4</v>
      </c>
      <c r="AW101" s="31"/>
      <c r="AY101" s="27" t="s">
        <v>58</v>
      </c>
      <c r="AZ101" s="30" t="str">
        <f>"März "&amp;RIGHT('Kat. I'!$A$2-5,2)</f>
        <v>März -5</v>
      </c>
      <c r="BA101" s="31"/>
    </row>
    <row r="102" spans="31:53">
      <c r="AI102" s="27" t="s">
        <v>58</v>
      </c>
      <c r="AJ102" s="30" t="str">
        <f>"April "&amp;RIGHT('Kat. I'!$A$2-1,2)</f>
        <v>April -1</v>
      </c>
      <c r="AK102" s="31"/>
      <c r="AM102" s="27" t="s">
        <v>58</v>
      </c>
      <c r="AN102" s="30" t="str">
        <f>"April "&amp;RIGHT('Kat. I'!$A$2-2,2)</f>
        <v>April -2</v>
      </c>
      <c r="AO102" s="31"/>
      <c r="AQ102" s="27" t="s">
        <v>58</v>
      </c>
      <c r="AR102" s="30" t="str">
        <f>"April "&amp;RIGHT('Kat. I'!$A$2-3,2)</f>
        <v>April -3</v>
      </c>
      <c r="AS102" s="31"/>
      <c r="AU102" s="27" t="s">
        <v>58</v>
      </c>
      <c r="AV102" s="30" t="str">
        <f>"April "&amp;RIGHT('Kat. I'!$A$2-4,2)</f>
        <v>April -4</v>
      </c>
      <c r="AW102" s="31"/>
      <c r="AY102" s="27" t="s">
        <v>58</v>
      </c>
      <c r="AZ102" s="30" t="str">
        <f>"April "&amp;RIGHT('Kat. I'!$A$2-5,2)</f>
        <v>April -5</v>
      </c>
      <c r="BA102" s="31"/>
    </row>
    <row r="103" spans="31:53">
      <c r="AI103" s="27" t="s">
        <v>58</v>
      </c>
      <c r="AJ103" s="30" t="str">
        <f>"Mai "&amp;RIGHT('Kat. I'!$A$2-1,2)</f>
        <v>Mai -1</v>
      </c>
      <c r="AK103" s="31"/>
      <c r="AM103" s="27" t="s">
        <v>58</v>
      </c>
      <c r="AN103" s="30" t="str">
        <f>"Mai "&amp;RIGHT('Kat. I'!$A$2-2,2)</f>
        <v>Mai -2</v>
      </c>
      <c r="AO103" s="31"/>
      <c r="AQ103" s="27" t="s">
        <v>58</v>
      </c>
      <c r="AR103" s="30" t="str">
        <f>"Mai "&amp;RIGHT('Kat. I'!$A$2-3,2)</f>
        <v>Mai -3</v>
      </c>
      <c r="AS103" s="31"/>
      <c r="AU103" s="27" t="s">
        <v>58</v>
      </c>
      <c r="AV103" s="30" t="str">
        <f>"Mai "&amp;RIGHT('Kat. I'!$A$2-4,2)</f>
        <v>Mai -4</v>
      </c>
      <c r="AW103" s="31"/>
      <c r="AY103" s="27" t="s">
        <v>58</v>
      </c>
      <c r="AZ103" s="30" t="str">
        <f>"Mai "&amp;RIGHT('Kat. I'!$A$2-5,2)</f>
        <v>Mai -5</v>
      </c>
      <c r="BA103" s="31"/>
    </row>
    <row r="104" spans="31:53">
      <c r="AI104" s="27" t="s">
        <v>58</v>
      </c>
      <c r="AJ104" s="30" t="str">
        <f>"Juni "&amp;RIGHT('Kat. I'!$A$2-1,2)</f>
        <v>Juni -1</v>
      </c>
      <c r="AK104" s="31"/>
      <c r="AM104" s="27" t="s">
        <v>58</v>
      </c>
      <c r="AN104" s="30" t="str">
        <f>"Juni "&amp;RIGHT('Kat. I'!$A$2-2,2)</f>
        <v>Juni -2</v>
      </c>
      <c r="AO104" s="31"/>
      <c r="AQ104" s="27" t="s">
        <v>58</v>
      </c>
      <c r="AR104" s="30" t="str">
        <f>"Juni "&amp;RIGHT('Kat. I'!$A$2-3,2)</f>
        <v>Juni -3</v>
      </c>
      <c r="AS104" s="31"/>
      <c r="AU104" s="27" t="s">
        <v>58</v>
      </c>
      <c r="AV104" s="30" t="str">
        <f>"Juni "&amp;RIGHT('Kat. I'!$A$2-4,2)</f>
        <v>Juni -4</v>
      </c>
      <c r="AW104" s="31"/>
      <c r="AY104" s="27" t="s">
        <v>58</v>
      </c>
      <c r="AZ104" s="30" t="str">
        <f>"Juni "&amp;RIGHT('Kat. I'!$A$2-5,2)</f>
        <v>Juni -5</v>
      </c>
      <c r="BA104" s="31"/>
    </row>
    <row r="105" spans="31:53">
      <c r="AI105" s="27" t="s">
        <v>58</v>
      </c>
      <c r="AJ105" s="30" t="str">
        <f>"Juli "&amp;RIGHT('Kat. I'!$A$2-1,2)</f>
        <v>Juli -1</v>
      </c>
      <c r="AK105" s="31"/>
      <c r="AM105" s="27" t="s">
        <v>58</v>
      </c>
      <c r="AN105" s="30" t="str">
        <f>"Juli "&amp;RIGHT('Kat. I'!$A$2-2,2)</f>
        <v>Juli -2</v>
      </c>
      <c r="AO105" s="31"/>
      <c r="AQ105" s="27" t="s">
        <v>58</v>
      </c>
      <c r="AR105" s="30" t="str">
        <f>"Juli "&amp;RIGHT('Kat. I'!$A$2-3,2)</f>
        <v>Juli -3</v>
      </c>
      <c r="AS105" s="31"/>
      <c r="AU105" s="27" t="s">
        <v>58</v>
      </c>
      <c r="AV105" s="30" t="str">
        <f>"Juli "&amp;RIGHT('Kat. I'!$A$2-4,2)</f>
        <v>Juli -4</v>
      </c>
      <c r="AW105" s="31"/>
      <c r="AY105" s="27" t="s">
        <v>58</v>
      </c>
      <c r="AZ105" s="30" t="str">
        <f>"Juli "&amp;RIGHT('Kat. I'!$A$2-5,2)</f>
        <v>Juli -5</v>
      </c>
      <c r="BA105" s="31"/>
    </row>
    <row r="106" spans="31:53">
      <c r="AI106" s="27" t="s">
        <v>58</v>
      </c>
      <c r="AJ106" s="30" t="str">
        <f>"Aug. "&amp;RIGHT('Kat. I'!$A$2-1,2)</f>
        <v>Aug. -1</v>
      </c>
      <c r="AK106" s="31"/>
      <c r="AM106" s="27" t="s">
        <v>58</v>
      </c>
      <c r="AN106" s="30" t="str">
        <f>"Aug. "&amp;RIGHT('Kat. I'!$A$2-2,2)</f>
        <v>Aug. -2</v>
      </c>
      <c r="AO106" s="31"/>
      <c r="AQ106" s="27" t="s">
        <v>58</v>
      </c>
      <c r="AR106" s="30" t="str">
        <f>"Aug. "&amp;RIGHT('Kat. I'!$A$2-3,2)</f>
        <v>Aug. -3</v>
      </c>
      <c r="AS106" s="31"/>
      <c r="AU106" s="27" t="s">
        <v>58</v>
      </c>
      <c r="AV106" s="30" t="str">
        <f>"Aug. "&amp;RIGHT('Kat. I'!$A$2-4,2)</f>
        <v>Aug. -4</v>
      </c>
      <c r="AW106" s="31"/>
      <c r="AY106" s="27" t="s">
        <v>58</v>
      </c>
      <c r="AZ106" s="30" t="str">
        <f>"Aug. "&amp;RIGHT('Kat. I'!$A$2-5,2)</f>
        <v>Aug. -5</v>
      </c>
      <c r="BA106" s="31"/>
    </row>
    <row r="107" spans="31:53">
      <c r="AI107" s="27" t="s">
        <v>58</v>
      </c>
      <c r="AJ107" s="30" t="str">
        <f>"Sept. "&amp;RIGHT('Kat. I'!$A$2-1,2)</f>
        <v>Sept. -1</v>
      </c>
      <c r="AK107" s="31"/>
      <c r="AM107" s="27" t="s">
        <v>58</v>
      </c>
      <c r="AN107" s="30" t="str">
        <f>"Sept. "&amp;RIGHT('Kat. I'!$A$2-2,2)</f>
        <v>Sept. -2</v>
      </c>
      <c r="AO107" s="31"/>
      <c r="AQ107" s="27" t="s">
        <v>58</v>
      </c>
      <c r="AR107" s="30" t="str">
        <f>"Sept. "&amp;RIGHT('Kat. I'!$A$2-3,2)</f>
        <v>Sept. -3</v>
      </c>
      <c r="AS107" s="31"/>
      <c r="AU107" s="27" t="s">
        <v>58</v>
      </c>
      <c r="AV107" s="30" t="str">
        <f>"Sept. "&amp;RIGHT('Kat. I'!$A$2-4,2)</f>
        <v>Sept. -4</v>
      </c>
      <c r="AW107" s="31"/>
      <c r="AY107" s="27" t="s">
        <v>58</v>
      </c>
      <c r="AZ107" s="30" t="str">
        <f>"Sept. "&amp;RIGHT('Kat. I'!$A$2-5,2)</f>
        <v>Sept. -5</v>
      </c>
      <c r="BA107" s="31"/>
    </row>
    <row r="108" spans="31:53">
      <c r="AI108" s="27" t="s">
        <v>58</v>
      </c>
      <c r="AJ108" s="30" t="str">
        <f>"Okt. "&amp;RIGHT('Kat. I'!$A$2-1,2)</f>
        <v>Okt. -1</v>
      </c>
      <c r="AK108" s="31"/>
      <c r="AM108" s="27" t="s">
        <v>58</v>
      </c>
      <c r="AN108" s="30" t="str">
        <f>"Okt. "&amp;RIGHT('Kat. I'!$A$2-2,2)</f>
        <v>Okt. -2</v>
      </c>
      <c r="AO108" s="31"/>
      <c r="AQ108" s="27" t="s">
        <v>58</v>
      </c>
      <c r="AR108" s="30" t="str">
        <f>"Okt. "&amp;RIGHT('Kat. I'!$A$2-3,2)</f>
        <v>Okt. -3</v>
      </c>
      <c r="AS108" s="31"/>
      <c r="AU108" s="27" t="s">
        <v>58</v>
      </c>
      <c r="AV108" s="30" t="str">
        <f>"Okt. "&amp;RIGHT('Kat. I'!$A$2-4,2)</f>
        <v>Okt. -4</v>
      </c>
      <c r="AW108" s="31"/>
      <c r="AY108" s="27" t="s">
        <v>58</v>
      </c>
      <c r="AZ108" s="30" t="str">
        <f>"Okt. "&amp;RIGHT('Kat. I'!$A$2-5,2)</f>
        <v>Okt. -5</v>
      </c>
      <c r="BA108" s="31"/>
    </row>
    <row r="109" spans="31:53">
      <c r="AI109" s="27" t="s">
        <v>58</v>
      </c>
      <c r="AJ109" s="30" t="str">
        <f>"Nov. "&amp;RIGHT('Kat. I'!$A$2-1,2)</f>
        <v>Nov. -1</v>
      </c>
      <c r="AK109" s="31"/>
      <c r="AM109" s="27" t="s">
        <v>58</v>
      </c>
      <c r="AN109" s="30" t="str">
        <f>"Nov. "&amp;RIGHT('Kat. I'!$A$2-2,2)</f>
        <v>Nov. -2</v>
      </c>
      <c r="AO109" s="31"/>
      <c r="AQ109" s="27" t="s">
        <v>58</v>
      </c>
      <c r="AR109" s="30" t="str">
        <f>"Nov. "&amp;RIGHT('Kat. I'!$A$2-3,2)</f>
        <v>Nov. -3</v>
      </c>
      <c r="AS109" s="31"/>
      <c r="AU109" s="27" t="s">
        <v>58</v>
      </c>
      <c r="AV109" s="30" t="str">
        <f>"Nov. "&amp;RIGHT('Kat. I'!$A$2-4,2)</f>
        <v>Nov. -4</v>
      </c>
      <c r="AW109" s="31"/>
      <c r="AY109" s="27" t="s">
        <v>58</v>
      </c>
      <c r="AZ109" s="30" t="str">
        <f>"Nov. "&amp;RIGHT('Kat. I'!$A$2-5,2)</f>
        <v>Nov. -5</v>
      </c>
      <c r="BA109" s="31"/>
    </row>
    <row r="110" spans="31:53">
      <c r="AI110" s="27" t="s">
        <v>58</v>
      </c>
      <c r="AJ110" s="30" t="str">
        <f>"Dez. "&amp;RIGHT('Kat. I'!$A$2-1,2)</f>
        <v>Dez. -1</v>
      </c>
      <c r="AK110" s="31"/>
      <c r="AM110" s="27" t="s">
        <v>58</v>
      </c>
      <c r="AN110" s="30" t="str">
        <f>"Dez. "&amp;RIGHT('Kat. I'!$A$2-2,2)</f>
        <v>Dez. -2</v>
      </c>
      <c r="AO110" s="31"/>
      <c r="AQ110" s="27" t="s">
        <v>58</v>
      </c>
      <c r="AR110" s="30" t="str">
        <f>"Dez. "&amp;RIGHT('Kat. I'!$A$2-3,2)</f>
        <v>Dez. -3</v>
      </c>
      <c r="AS110" s="31"/>
      <c r="AU110" s="27" t="s">
        <v>58</v>
      </c>
      <c r="AV110" s="30" t="str">
        <f>"Dez. "&amp;RIGHT('Kat. I'!$A$2-4,2)</f>
        <v>Dez. -4</v>
      </c>
      <c r="AW110" s="31"/>
      <c r="AY110" s="27" t="s">
        <v>58</v>
      </c>
      <c r="AZ110" s="30" t="str">
        <f>"Dez. "&amp;RIGHT('Kat. I'!$A$2-5,2)</f>
        <v>Dez. -5</v>
      </c>
      <c r="BA110" s="31"/>
    </row>
    <row r="111" spans="31:53">
      <c r="AM111" s="27" t="s">
        <v>58</v>
      </c>
      <c r="AN111" s="32" t="str">
        <f>"Jan. "&amp;RIGHT('Kat. I'!$A$2-1,2)</f>
        <v>Jan. -1</v>
      </c>
      <c r="AO111" s="31"/>
      <c r="AQ111" s="27" t="s">
        <v>58</v>
      </c>
      <c r="AR111" s="32" t="str">
        <f>"Jan. "&amp;RIGHT('Kat. I'!$A$2-2,2)</f>
        <v>Jan. -2</v>
      </c>
      <c r="AS111" s="31"/>
      <c r="AU111" s="27" t="s">
        <v>58</v>
      </c>
      <c r="AV111" s="32" t="str">
        <f>"Jan. "&amp;RIGHT('Kat. I'!$A$2-3,2)</f>
        <v>Jan. -3</v>
      </c>
      <c r="AW111" s="31"/>
      <c r="AY111" s="27" t="s">
        <v>58</v>
      </c>
      <c r="AZ111" s="32" t="str">
        <f>"Jan. "&amp;RIGHT('Kat. I'!$A$2-4,2)</f>
        <v>Jan. -4</v>
      </c>
      <c r="BA111" s="31"/>
    </row>
    <row r="112" spans="31:53">
      <c r="AM112" s="27" t="s">
        <v>58</v>
      </c>
      <c r="AN112" s="32" t="str">
        <f>"Feb. "&amp;RIGHT('Kat. I'!$A$2-1,2)</f>
        <v>Feb. -1</v>
      </c>
      <c r="AO112" s="31"/>
      <c r="AQ112" s="27" t="s">
        <v>58</v>
      </c>
      <c r="AR112" s="32" t="str">
        <f>"Feb. "&amp;RIGHT('Kat. I'!$A$2-2,2)</f>
        <v>Feb. -2</v>
      </c>
      <c r="AS112" s="31"/>
      <c r="AU112" s="27" t="s">
        <v>58</v>
      </c>
      <c r="AV112" s="32" t="str">
        <f>"Feb. "&amp;RIGHT('Kat. I'!$A$2-3,2)</f>
        <v>Feb. -3</v>
      </c>
      <c r="AW112" s="31"/>
      <c r="AY112" s="27" t="s">
        <v>58</v>
      </c>
      <c r="AZ112" s="32" t="str">
        <f>"Feb. "&amp;RIGHT('Kat. I'!$A$2-4,2)</f>
        <v>Feb. -4</v>
      </c>
      <c r="BA112" s="31"/>
    </row>
    <row r="113" spans="39:53">
      <c r="AM113" s="27" t="s">
        <v>58</v>
      </c>
      <c r="AN113" s="32" t="str">
        <f>"März "&amp;RIGHT('Kat. I'!$A$2-1,2)</f>
        <v>März -1</v>
      </c>
      <c r="AO113" s="31"/>
      <c r="AQ113" s="27" t="s">
        <v>58</v>
      </c>
      <c r="AR113" s="32" t="str">
        <f>"März "&amp;RIGHT('Kat. I'!$A$2-2,2)</f>
        <v>März -2</v>
      </c>
      <c r="AS113" s="31"/>
      <c r="AU113" s="27" t="s">
        <v>58</v>
      </c>
      <c r="AV113" s="32" t="str">
        <f>"März "&amp;RIGHT('Kat. I'!$A$2-3,2)</f>
        <v>März -3</v>
      </c>
      <c r="AW113" s="31"/>
      <c r="AY113" s="27" t="s">
        <v>58</v>
      </c>
      <c r="AZ113" s="32" t="str">
        <f>"März "&amp;RIGHT('Kat. I'!$A$2-4,2)</f>
        <v>März -4</v>
      </c>
      <c r="BA113" s="31"/>
    </row>
    <row r="114" spans="39:53">
      <c r="AM114" s="27" t="s">
        <v>58</v>
      </c>
      <c r="AN114" s="32" t="str">
        <f>"April "&amp;RIGHT('Kat. I'!$A$2-1,2)</f>
        <v>April -1</v>
      </c>
      <c r="AO114" s="31"/>
      <c r="AQ114" s="27" t="s">
        <v>58</v>
      </c>
      <c r="AR114" s="32" t="str">
        <f>"April "&amp;RIGHT('Kat. I'!$A$2-2,2)</f>
        <v>April -2</v>
      </c>
      <c r="AS114" s="31"/>
      <c r="AU114" s="27" t="s">
        <v>58</v>
      </c>
      <c r="AV114" s="32" t="str">
        <f>"April "&amp;RIGHT('Kat. I'!$A$2-3,2)</f>
        <v>April -3</v>
      </c>
      <c r="AW114" s="31"/>
      <c r="AY114" s="27" t="s">
        <v>58</v>
      </c>
      <c r="AZ114" s="32" t="str">
        <f>"April "&amp;RIGHT('Kat. I'!$A$2-4,2)</f>
        <v>April -4</v>
      </c>
      <c r="BA114" s="31"/>
    </row>
    <row r="115" spans="39:53">
      <c r="AM115" s="27" t="s">
        <v>58</v>
      </c>
      <c r="AN115" s="32" t="str">
        <f>"Mai "&amp;RIGHT('Kat. I'!$A$2-1,2)</f>
        <v>Mai -1</v>
      </c>
      <c r="AO115" s="31"/>
      <c r="AQ115" s="27" t="s">
        <v>58</v>
      </c>
      <c r="AR115" s="32" t="str">
        <f>"Mai "&amp;RIGHT('Kat. I'!$A$2-2,2)</f>
        <v>Mai -2</v>
      </c>
      <c r="AS115" s="31"/>
      <c r="AU115" s="27" t="s">
        <v>58</v>
      </c>
      <c r="AV115" s="32" t="str">
        <f>"Mai "&amp;RIGHT('Kat. I'!$A$2-3,2)</f>
        <v>Mai -3</v>
      </c>
      <c r="AW115" s="31"/>
      <c r="AY115" s="27" t="s">
        <v>58</v>
      </c>
      <c r="AZ115" s="32" t="str">
        <f>"Mai "&amp;RIGHT('Kat. I'!$A$2-4,2)</f>
        <v>Mai -4</v>
      </c>
      <c r="BA115" s="31"/>
    </row>
    <row r="116" spans="39:53">
      <c r="AM116" s="27" t="s">
        <v>58</v>
      </c>
      <c r="AN116" s="32" t="str">
        <f>"Juni "&amp;RIGHT('Kat. I'!$A$2-1,2)</f>
        <v>Juni -1</v>
      </c>
      <c r="AO116" s="31"/>
      <c r="AQ116" s="27" t="s">
        <v>58</v>
      </c>
      <c r="AR116" s="32" t="str">
        <f>"Juni "&amp;RIGHT('Kat. I'!$A$2-2,2)</f>
        <v>Juni -2</v>
      </c>
      <c r="AS116" s="31"/>
      <c r="AU116" s="27" t="s">
        <v>58</v>
      </c>
      <c r="AV116" s="32" t="str">
        <f>"Juni "&amp;RIGHT('Kat. I'!$A$2-3,2)</f>
        <v>Juni -3</v>
      </c>
      <c r="AW116" s="31"/>
      <c r="AY116" s="27" t="s">
        <v>58</v>
      </c>
      <c r="AZ116" s="32" t="str">
        <f>"Juni "&amp;RIGHT('Kat. I'!$A$2-4,2)</f>
        <v>Juni -4</v>
      </c>
      <c r="BA116" s="31"/>
    </row>
    <row r="117" spans="39:53">
      <c r="AM117" s="27" t="s">
        <v>58</v>
      </c>
      <c r="AN117" s="32" t="str">
        <f>"Juli "&amp;RIGHT('Kat. I'!$A$2-1,2)</f>
        <v>Juli -1</v>
      </c>
      <c r="AO117" s="31"/>
      <c r="AQ117" s="27" t="s">
        <v>58</v>
      </c>
      <c r="AR117" s="32" t="str">
        <f>"Juli "&amp;RIGHT('Kat. I'!$A$2-2,2)</f>
        <v>Juli -2</v>
      </c>
      <c r="AS117" s="31"/>
      <c r="AU117" s="27" t="s">
        <v>58</v>
      </c>
      <c r="AV117" s="32" t="str">
        <f>"Juli "&amp;RIGHT('Kat. I'!$A$2-3,2)</f>
        <v>Juli -3</v>
      </c>
      <c r="AW117" s="31"/>
      <c r="AY117" s="27" t="s">
        <v>58</v>
      </c>
      <c r="AZ117" s="32" t="str">
        <f>"Juli "&amp;RIGHT('Kat. I'!$A$2-4,2)</f>
        <v>Juli -4</v>
      </c>
      <c r="BA117" s="31"/>
    </row>
    <row r="118" spans="39:53">
      <c r="AM118" s="27" t="s">
        <v>58</v>
      </c>
      <c r="AN118" s="32" t="str">
        <f>"Aug. "&amp;RIGHT('Kat. I'!$A$2-1,2)</f>
        <v>Aug. -1</v>
      </c>
      <c r="AO118" s="31"/>
      <c r="AQ118" s="27" t="s">
        <v>58</v>
      </c>
      <c r="AR118" s="32" t="str">
        <f>"Aug. "&amp;RIGHT('Kat. I'!$A$2-2,2)</f>
        <v>Aug. -2</v>
      </c>
      <c r="AS118" s="31"/>
      <c r="AU118" s="27" t="s">
        <v>58</v>
      </c>
      <c r="AV118" s="32" t="str">
        <f>"Aug. "&amp;RIGHT('Kat. I'!$A$2-3,2)</f>
        <v>Aug. -3</v>
      </c>
      <c r="AW118" s="31"/>
      <c r="AY118" s="27" t="s">
        <v>58</v>
      </c>
      <c r="AZ118" s="32" t="str">
        <f>"Aug. "&amp;RIGHT('Kat. I'!$A$2-4,2)</f>
        <v>Aug. -4</v>
      </c>
      <c r="BA118" s="31"/>
    </row>
    <row r="119" spans="39:53">
      <c r="AM119" s="27" t="s">
        <v>58</v>
      </c>
      <c r="AN119" s="32" t="str">
        <f>"Sept. "&amp;RIGHT('Kat. I'!$A$2-1,2)</f>
        <v>Sept. -1</v>
      </c>
      <c r="AO119" s="31"/>
      <c r="AQ119" s="27" t="s">
        <v>58</v>
      </c>
      <c r="AR119" s="32" t="str">
        <f>"Sept. "&amp;RIGHT('Kat. I'!$A$2-2,2)</f>
        <v>Sept. -2</v>
      </c>
      <c r="AS119" s="31"/>
      <c r="AU119" s="27" t="s">
        <v>58</v>
      </c>
      <c r="AV119" s="32" t="str">
        <f>"Sept. "&amp;RIGHT('Kat. I'!$A$2-3,2)</f>
        <v>Sept. -3</v>
      </c>
      <c r="AW119" s="31"/>
      <c r="AY119" s="27" t="s">
        <v>58</v>
      </c>
      <c r="AZ119" s="32" t="str">
        <f>"Sept. "&amp;RIGHT('Kat. I'!$A$2-4,2)</f>
        <v>Sept. -4</v>
      </c>
      <c r="BA119" s="31"/>
    </row>
    <row r="120" spans="39:53">
      <c r="AM120" s="27" t="s">
        <v>58</v>
      </c>
      <c r="AN120" s="32" t="str">
        <f>"Okt. "&amp;RIGHT('Kat. I'!$A$2-1,2)</f>
        <v>Okt. -1</v>
      </c>
      <c r="AO120" s="31"/>
      <c r="AQ120" s="27" t="s">
        <v>58</v>
      </c>
      <c r="AR120" s="32" t="str">
        <f>"Okt. "&amp;RIGHT('Kat. I'!$A$2-2,2)</f>
        <v>Okt. -2</v>
      </c>
      <c r="AS120" s="31"/>
      <c r="AU120" s="27" t="s">
        <v>58</v>
      </c>
      <c r="AV120" s="32" t="str">
        <f>"Okt. "&amp;RIGHT('Kat. I'!$A$2-3,2)</f>
        <v>Okt. -3</v>
      </c>
      <c r="AW120" s="31"/>
      <c r="AY120" s="27" t="s">
        <v>58</v>
      </c>
      <c r="AZ120" s="32" t="str">
        <f>"Okt. "&amp;RIGHT('Kat. I'!$A$2-4,2)</f>
        <v>Okt. -4</v>
      </c>
      <c r="BA120" s="31"/>
    </row>
    <row r="121" spans="39:53">
      <c r="AM121" s="27" t="s">
        <v>58</v>
      </c>
      <c r="AN121" s="32" t="str">
        <f>"Nov. "&amp;RIGHT('Kat. I'!$A$2-1,2)</f>
        <v>Nov. -1</v>
      </c>
      <c r="AO121" s="31"/>
      <c r="AQ121" s="27" t="s">
        <v>58</v>
      </c>
      <c r="AR121" s="32" t="str">
        <f>"Nov. "&amp;RIGHT('Kat. I'!$A$2-2,2)</f>
        <v>Nov. -2</v>
      </c>
      <c r="AS121" s="31"/>
      <c r="AU121" s="27" t="s">
        <v>58</v>
      </c>
      <c r="AV121" s="32" t="str">
        <f>"Nov. "&amp;RIGHT('Kat. I'!$A$2-3,2)</f>
        <v>Nov. -3</v>
      </c>
      <c r="AW121" s="31"/>
      <c r="AY121" s="27" t="s">
        <v>58</v>
      </c>
      <c r="AZ121" s="32" t="str">
        <f>"Nov. "&amp;RIGHT('Kat. I'!$A$2-4,2)</f>
        <v>Nov. -4</v>
      </c>
      <c r="BA121" s="31"/>
    </row>
    <row r="122" spans="39:53">
      <c r="AM122" s="27" t="s">
        <v>58</v>
      </c>
      <c r="AN122" s="32" t="str">
        <f>"Dez. "&amp;RIGHT('Kat. I'!$A$2-1,2)</f>
        <v>Dez. -1</v>
      </c>
      <c r="AO122" s="31"/>
      <c r="AQ122" s="27" t="s">
        <v>58</v>
      </c>
      <c r="AR122" s="32" t="str">
        <f>"Dez. "&amp;RIGHT('Kat. I'!$A$2-2,2)</f>
        <v>Dez. -2</v>
      </c>
      <c r="AS122" s="31"/>
      <c r="AU122" s="27" t="s">
        <v>58</v>
      </c>
      <c r="AV122" s="32" t="str">
        <f>"Dez. "&amp;RIGHT('Kat. I'!$A$2-3,2)</f>
        <v>Dez. -3</v>
      </c>
      <c r="AW122" s="31"/>
      <c r="AY122" s="27" t="s">
        <v>58</v>
      </c>
      <c r="AZ122" s="32" t="str">
        <f>"Dez. "&amp;RIGHT('Kat. I'!$A$2-4,2)</f>
        <v>Dez. -4</v>
      </c>
      <c r="BA122" s="31"/>
    </row>
    <row r="123" spans="39:53">
      <c r="AQ123" s="27" t="s">
        <v>58</v>
      </c>
      <c r="AR123" s="30" t="str">
        <f>"Jan. "&amp;RIGHT('Kat. I'!$A$2-1,2)</f>
        <v>Jan. -1</v>
      </c>
      <c r="AS123" s="31"/>
      <c r="AU123" s="27" t="s">
        <v>58</v>
      </c>
      <c r="AV123" s="30" t="str">
        <f>"Jan. "&amp;RIGHT('Kat. I'!$A$2-2,2)</f>
        <v>Jan. -2</v>
      </c>
      <c r="AW123" s="31"/>
      <c r="AY123" s="27" t="s">
        <v>58</v>
      </c>
      <c r="AZ123" s="30" t="str">
        <f>"Jan. "&amp;RIGHT('Kat. I'!$A$2-3,2)</f>
        <v>Jan. -3</v>
      </c>
      <c r="BA123" s="31"/>
    </row>
    <row r="124" spans="39:53">
      <c r="AQ124" s="27" t="s">
        <v>58</v>
      </c>
      <c r="AR124" s="30" t="str">
        <f>"Feb. "&amp;RIGHT('Kat. I'!$A$2-1,2)</f>
        <v>Feb. -1</v>
      </c>
      <c r="AS124" s="31"/>
      <c r="AU124" s="27" t="s">
        <v>58</v>
      </c>
      <c r="AV124" s="30" t="str">
        <f>"Feb. "&amp;RIGHT('Kat. I'!$A$2-2,2)</f>
        <v>Feb. -2</v>
      </c>
      <c r="AW124" s="31"/>
      <c r="AY124" s="27" t="s">
        <v>58</v>
      </c>
      <c r="AZ124" s="30" t="str">
        <f>"Feb. "&amp;RIGHT('Kat. I'!$A$2-3,2)</f>
        <v>Feb. -3</v>
      </c>
      <c r="BA124" s="31"/>
    </row>
    <row r="125" spans="39:53">
      <c r="AQ125" s="27" t="s">
        <v>58</v>
      </c>
      <c r="AR125" s="30" t="str">
        <f>"März "&amp;RIGHT('Kat. I'!$A$2-1,2)</f>
        <v>März -1</v>
      </c>
      <c r="AS125" s="31"/>
      <c r="AU125" s="27" t="s">
        <v>58</v>
      </c>
      <c r="AV125" s="30" t="str">
        <f>"März "&amp;RIGHT('Kat. I'!$A$2-2,2)</f>
        <v>März -2</v>
      </c>
      <c r="AW125" s="31"/>
      <c r="AY125" s="27" t="s">
        <v>58</v>
      </c>
      <c r="AZ125" s="30" t="str">
        <f>"März "&amp;RIGHT('Kat. I'!$A$2-3,2)</f>
        <v>März -3</v>
      </c>
      <c r="BA125" s="31"/>
    </row>
    <row r="126" spans="39:53">
      <c r="AQ126" s="27" t="s">
        <v>58</v>
      </c>
      <c r="AR126" s="30" t="str">
        <f>"April "&amp;RIGHT('Kat. I'!$A$2-1,2)</f>
        <v>April -1</v>
      </c>
      <c r="AS126" s="31"/>
      <c r="AU126" s="27" t="s">
        <v>58</v>
      </c>
      <c r="AV126" s="30" t="str">
        <f>"April "&amp;RIGHT('Kat. I'!$A$2-2,2)</f>
        <v>April -2</v>
      </c>
      <c r="AW126" s="31"/>
      <c r="AY126" s="27" t="s">
        <v>58</v>
      </c>
      <c r="AZ126" s="30" t="str">
        <f>"April "&amp;RIGHT('Kat. I'!$A$2-3,2)</f>
        <v>April -3</v>
      </c>
      <c r="BA126" s="31"/>
    </row>
    <row r="127" spans="39:53">
      <c r="AQ127" s="27" t="s">
        <v>58</v>
      </c>
      <c r="AR127" s="30" t="str">
        <f>"Mai "&amp;RIGHT('Kat. I'!$A$2-1,2)</f>
        <v>Mai -1</v>
      </c>
      <c r="AS127" s="31"/>
      <c r="AU127" s="27" t="s">
        <v>58</v>
      </c>
      <c r="AV127" s="30" t="str">
        <f>"Mai "&amp;RIGHT('Kat. I'!$A$2-2,2)</f>
        <v>Mai -2</v>
      </c>
      <c r="AW127" s="31"/>
      <c r="AY127" s="27" t="s">
        <v>58</v>
      </c>
      <c r="AZ127" s="30" t="str">
        <f>"Mai "&amp;RIGHT('Kat. I'!$A$2-3,2)</f>
        <v>Mai -3</v>
      </c>
      <c r="BA127" s="31"/>
    </row>
    <row r="128" spans="39:53">
      <c r="AQ128" s="27" t="s">
        <v>58</v>
      </c>
      <c r="AR128" s="30" t="str">
        <f>"Juni "&amp;RIGHT('Kat. I'!$A$2-1,2)</f>
        <v>Juni -1</v>
      </c>
      <c r="AS128" s="31"/>
      <c r="AU128" s="27" t="s">
        <v>58</v>
      </c>
      <c r="AV128" s="30" t="str">
        <f>"Juni "&amp;RIGHT('Kat. I'!$A$2-2,2)</f>
        <v>Juni -2</v>
      </c>
      <c r="AW128" s="31"/>
      <c r="AY128" s="27" t="s">
        <v>58</v>
      </c>
      <c r="AZ128" s="30" t="str">
        <f>"Juni "&amp;RIGHT('Kat. I'!$A$2-3,2)</f>
        <v>Juni -3</v>
      </c>
      <c r="BA128" s="31"/>
    </row>
    <row r="129" spans="43:53">
      <c r="AQ129" s="27" t="s">
        <v>58</v>
      </c>
      <c r="AR129" s="30" t="str">
        <f>"Juli "&amp;RIGHT('Kat. I'!$A$2-1,2)</f>
        <v>Juli -1</v>
      </c>
      <c r="AS129" s="31"/>
      <c r="AU129" s="27" t="s">
        <v>58</v>
      </c>
      <c r="AV129" s="30" t="str">
        <f>"Juli "&amp;RIGHT('Kat. I'!$A$2-2,2)</f>
        <v>Juli -2</v>
      </c>
      <c r="AW129" s="31"/>
      <c r="AY129" s="27" t="s">
        <v>58</v>
      </c>
      <c r="AZ129" s="30" t="str">
        <f>"Juli "&amp;RIGHT('Kat. I'!$A$2-3,2)</f>
        <v>Juli -3</v>
      </c>
      <c r="BA129" s="31"/>
    </row>
    <row r="130" spans="43:53">
      <c r="AQ130" s="27" t="s">
        <v>58</v>
      </c>
      <c r="AR130" s="30" t="str">
        <f>"Aug. "&amp;RIGHT('Kat. I'!$A$2-1,2)</f>
        <v>Aug. -1</v>
      </c>
      <c r="AS130" s="31"/>
      <c r="AU130" s="27" t="s">
        <v>58</v>
      </c>
      <c r="AV130" s="30" t="str">
        <f>"Aug. "&amp;RIGHT('Kat. I'!$A$2-2,2)</f>
        <v>Aug. -2</v>
      </c>
      <c r="AW130" s="31"/>
      <c r="AY130" s="27" t="s">
        <v>58</v>
      </c>
      <c r="AZ130" s="30" t="str">
        <f>"Aug. "&amp;RIGHT('Kat. I'!$A$2-3,2)</f>
        <v>Aug. -3</v>
      </c>
      <c r="BA130" s="31"/>
    </row>
    <row r="131" spans="43:53">
      <c r="AQ131" s="27" t="s">
        <v>58</v>
      </c>
      <c r="AR131" s="30" t="str">
        <f>"Sept. "&amp;RIGHT('Kat. I'!$A$2-1,2)</f>
        <v>Sept. -1</v>
      </c>
      <c r="AS131" s="31"/>
      <c r="AU131" s="27" t="s">
        <v>58</v>
      </c>
      <c r="AV131" s="30" t="str">
        <f>"Sept. "&amp;RIGHT('Kat. I'!$A$2-2,2)</f>
        <v>Sept. -2</v>
      </c>
      <c r="AW131" s="31"/>
      <c r="AY131" s="27" t="s">
        <v>58</v>
      </c>
      <c r="AZ131" s="30" t="str">
        <f>"Sept. "&amp;RIGHT('Kat. I'!$A$2-3,2)</f>
        <v>Sept. -3</v>
      </c>
      <c r="BA131" s="31"/>
    </row>
    <row r="132" spans="43:53">
      <c r="AQ132" s="27" t="s">
        <v>58</v>
      </c>
      <c r="AR132" s="30" t="str">
        <f>"Okt. "&amp;RIGHT('Kat. I'!$A$2-1,2)</f>
        <v>Okt. -1</v>
      </c>
      <c r="AS132" s="31"/>
      <c r="AU132" s="27" t="s">
        <v>58</v>
      </c>
      <c r="AV132" s="30" t="str">
        <f>"Okt. "&amp;RIGHT('Kat. I'!$A$2-2,2)</f>
        <v>Okt. -2</v>
      </c>
      <c r="AW132" s="31"/>
      <c r="AY132" s="27" t="s">
        <v>58</v>
      </c>
      <c r="AZ132" s="30" t="str">
        <f>"Okt. "&amp;RIGHT('Kat. I'!$A$2-3,2)</f>
        <v>Okt. -3</v>
      </c>
      <c r="BA132" s="31"/>
    </row>
    <row r="133" spans="43:53">
      <c r="AQ133" s="27" t="s">
        <v>58</v>
      </c>
      <c r="AR133" s="30" t="str">
        <f>"Nov. "&amp;RIGHT('Kat. I'!$A$2-1,2)</f>
        <v>Nov. -1</v>
      </c>
      <c r="AS133" s="31"/>
      <c r="AU133" s="27" t="s">
        <v>58</v>
      </c>
      <c r="AV133" s="30" t="str">
        <f>"Nov. "&amp;RIGHT('Kat. I'!$A$2-2,2)</f>
        <v>Nov. -2</v>
      </c>
      <c r="AW133" s="31"/>
      <c r="AY133" s="27" t="s">
        <v>58</v>
      </c>
      <c r="AZ133" s="30" t="str">
        <f>"Nov. "&amp;RIGHT('Kat. I'!$A$2-3,2)</f>
        <v>Nov. -3</v>
      </c>
      <c r="BA133" s="31"/>
    </row>
    <row r="134" spans="43:53">
      <c r="AQ134" s="27" t="s">
        <v>58</v>
      </c>
      <c r="AR134" s="30" t="str">
        <f>"Dez. "&amp;RIGHT('Kat. I'!$A$2-1,2)</f>
        <v>Dez. -1</v>
      </c>
      <c r="AS134" s="31"/>
      <c r="AU134" s="27" t="s">
        <v>58</v>
      </c>
      <c r="AV134" s="30" t="str">
        <f>"Dez. "&amp;RIGHT('Kat. I'!$A$2-2,2)</f>
        <v>Dez. -2</v>
      </c>
      <c r="AW134" s="31"/>
      <c r="AY134" s="27" t="s">
        <v>58</v>
      </c>
      <c r="AZ134" s="30" t="str">
        <f>"Dez. "&amp;RIGHT('Kat. I'!$A$2-3,2)</f>
        <v>Dez. -3</v>
      </c>
      <c r="BA134" s="31"/>
    </row>
    <row r="135" spans="43:53">
      <c r="AU135" s="27" t="s">
        <v>58</v>
      </c>
      <c r="AV135" s="32" t="str">
        <f>"Jan. "&amp;RIGHT('Kat. I'!$A$2-1,2)</f>
        <v>Jan. -1</v>
      </c>
      <c r="AW135" s="31"/>
      <c r="AY135" s="27" t="s">
        <v>58</v>
      </c>
      <c r="AZ135" s="32" t="str">
        <f>"Jan. "&amp;RIGHT('Kat. I'!$A$2-2,2)</f>
        <v>Jan. -2</v>
      </c>
      <c r="BA135" s="31"/>
    </row>
    <row r="136" spans="43:53">
      <c r="AU136" s="27" t="s">
        <v>58</v>
      </c>
      <c r="AV136" s="32" t="str">
        <f>"Feb. "&amp;RIGHT('Kat. I'!$A$2-1,2)</f>
        <v>Feb. -1</v>
      </c>
      <c r="AW136" s="31"/>
      <c r="AY136" s="27" t="s">
        <v>58</v>
      </c>
      <c r="AZ136" s="32" t="str">
        <f>"Feb. "&amp;RIGHT('Kat. I'!$A$2-2,2)</f>
        <v>Feb. -2</v>
      </c>
      <c r="BA136" s="31"/>
    </row>
    <row r="137" spans="43:53">
      <c r="AU137" s="27" t="s">
        <v>58</v>
      </c>
      <c r="AV137" s="32" t="str">
        <f>"März "&amp;RIGHT('Kat. I'!$A$2-1,2)</f>
        <v>März -1</v>
      </c>
      <c r="AW137" s="31"/>
      <c r="AY137" s="27" t="s">
        <v>58</v>
      </c>
      <c r="AZ137" s="32" t="str">
        <f>"März "&amp;RIGHT('Kat. I'!$A$2-2,2)</f>
        <v>März -2</v>
      </c>
      <c r="BA137" s="31"/>
    </row>
    <row r="138" spans="43:53">
      <c r="AU138" s="27" t="s">
        <v>58</v>
      </c>
      <c r="AV138" s="32" t="str">
        <f>"April "&amp;RIGHT('Kat. I'!$A$2-1,2)</f>
        <v>April -1</v>
      </c>
      <c r="AW138" s="31"/>
      <c r="AY138" s="27" t="s">
        <v>58</v>
      </c>
      <c r="AZ138" s="32" t="str">
        <f>"April "&amp;RIGHT('Kat. I'!$A$2-2,2)</f>
        <v>April -2</v>
      </c>
      <c r="BA138" s="31"/>
    </row>
    <row r="139" spans="43:53">
      <c r="AU139" s="27" t="s">
        <v>58</v>
      </c>
      <c r="AV139" s="32" t="str">
        <f>"Mai "&amp;RIGHT('Kat. I'!$A$2-1,2)</f>
        <v>Mai -1</v>
      </c>
      <c r="AW139" s="31"/>
      <c r="AY139" s="27" t="s">
        <v>58</v>
      </c>
      <c r="AZ139" s="32" t="str">
        <f>"Mai "&amp;RIGHT('Kat. I'!$A$2-2,2)</f>
        <v>Mai -2</v>
      </c>
      <c r="BA139" s="31"/>
    </row>
    <row r="140" spans="43:53">
      <c r="AU140" s="27" t="s">
        <v>58</v>
      </c>
      <c r="AV140" s="32" t="str">
        <f>"Juni "&amp;RIGHT('Kat. I'!$A$2-1,2)</f>
        <v>Juni -1</v>
      </c>
      <c r="AW140" s="31"/>
      <c r="AY140" s="27" t="s">
        <v>58</v>
      </c>
      <c r="AZ140" s="32" t="str">
        <f>"Juni "&amp;RIGHT('Kat. I'!$A$2-2,2)</f>
        <v>Juni -2</v>
      </c>
      <c r="BA140" s="31"/>
    </row>
    <row r="141" spans="43:53">
      <c r="AU141" s="27" t="s">
        <v>58</v>
      </c>
      <c r="AV141" s="32" t="str">
        <f>"Juli "&amp;RIGHT('Kat. I'!$A$2-1,2)</f>
        <v>Juli -1</v>
      </c>
      <c r="AW141" s="31"/>
      <c r="AY141" s="27" t="s">
        <v>58</v>
      </c>
      <c r="AZ141" s="32" t="str">
        <f>"Juli "&amp;RIGHT('Kat. I'!$A$2-2,2)</f>
        <v>Juli -2</v>
      </c>
      <c r="BA141" s="31"/>
    </row>
    <row r="142" spans="43:53">
      <c r="AU142" s="27" t="s">
        <v>58</v>
      </c>
      <c r="AV142" s="32" t="str">
        <f>"Aug. "&amp;RIGHT('Kat. I'!$A$2-1,2)</f>
        <v>Aug. -1</v>
      </c>
      <c r="AW142" s="31"/>
      <c r="AY142" s="27" t="s">
        <v>58</v>
      </c>
      <c r="AZ142" s="32" t="str">
        <f>"Aug. "&amp;RIGHT('Kat. I'!$A$2-2,2)</f>
        <v>Aug. -2</v>
      </c>
      <c r="BA142" s="31"/>
    </row>
    <row r="143" spans="43:53">
      <c r="AU143" s="27" t="s">
        <v>58</v>
      </c>
      <c r="AV143" s="32" t="str">
        <f>"Sept. "&amp;RIGHT('Kat. I'!$A$2-1,2)</f>
        <v>Sept. -1</v>
      </c>
      <c r="AW143" s="31"/>
      <c r="AY143" s="27" t="s">
        <v>58</v>
      </c>
      <c r="AZ143" s="32" t="str">
        <f>"Sept. "&amp;RIGHT('Kat. I'!$A$2-2,2)</f>
        <v>Sept. -2</v>
      </c>
      <c r="BA143" s="31"/>
    </row>
    <row r="144" spans="43:53">
      <c r="AU144" s="27" t="s">
        <v>58</v>
      </c>
      <c r="AV144" s="32" t="str">
        <f>"Okt. "&amp;RIGHT('Kat. I'!$A$2-1,2)</f>
        <v>Okt. -1</v>
      </c>
      <c r="AW144" s="31"/>
      <c r="AY144" s="27" t="s">
        <v>58</v>
      </c>
      <c r="AZ144" s="32" t="str">
        <f>"Okt. "&amp;RIGHT('Kat. I'!$A$2-2,2)</f>
        <v>Okt. -2</v>
      </c>
      <c r="BA144" s="31"/>
    </row>
    <row r="145" spans="47:53">
      <c r="AU145" s="27" t="s">
        <v>58</v>
      </c>
      <c r="AV145" s="32" t="str">
        <f>"Nov. "&amp;RIGHT('Kat. I'!$A$2-1,2)</f>
        <v>Nov. -1</v>
      </c>
      <c r="AW145" s="31"/>
      <c r="AY145" s="27" t="s">
        <v>58</v>
      </c>
      <c r="AZ145" s="32" t="str">
        <f>"Nov. "&amp;RIGHT('Kat. I'!$A$2-2,2)</f>
        <v>Nov. -2</v>
      </c>
      <c r="BA145" s="31"/>
    </row>
    <row r="146" spans="47:53">
      <c r="AU146" s="27" t="s">
        <v>58</v>
      </c>
      <c r="AV146" s="32" t="str">
        <f>"Dez. "&amp;RIGHT('Kat. I'!$A$2-1,2)</f>
        <v>Dez. -1</v>
      </c>
      <c r="AW146" s="31"/>
      <c r="AY146" s="27" t="s">
        <v>58</v>
      </c>
      <c r="AZ146" s="32" t="str">
        <f>"Dez. "&amp;RIGHT('Kat. I'!$A$2-2,2)</f>
        <v>Dez. -2</v>
      </c>
      <c r="BA146" s="31"/>
    </row>
    <row r="147" spans="47:53">
      <c r="AY147" s="27" t="s">
        <v>58</v>
      </c>
      <c r="AZ147" s="30" t="str">
        <f>"Jan. "&amp;RIGHT('Kat. I'!$A$2-1,2)</f>
        <v>Jan. -1</v>
      </c>
      <c r="BA147" s="31"/>
    </row>
    <row r="148" spans="47:53">
      <c r="AY148" s="27" t="s">
        <v>58</v>
      </c>
      <c r="AZ148" s="30" t="str">
        <f>"Feb. "&amp;RIGHT('Kat. I'!$A$2-1,2)</f>
        <v>Feb. -1</v>
      </c>
      <c r="BA148" s="31"/>
    </row>
    <row r="149" spans="47:53">
      <c r="AY149" s="27" t="s">
        <v>58</v>
      </c>
      <c r="AZ149" s="30" t="str">
        <f>"März "&amp;RIGHT('Kat. I'!$A$2-1,2)</f>
        <v>März -1</v>
      </c>
      <c r="BA149" s="31"/>
    </row>
    <row r="150" spans="47:53">
      <c r="AY150" s="27" t="s">
        <v>58</v>
      </c>
      <c r="AZ150" s="30" t="str">
        <f>"April "&amp;RIGHT('Kat. I'!$A$2-1,2)</f>
        <v>April -1</v>
      </c>
      <c r="BA150" s="31"/>
    </row>
    <row r="151" spans="47:53">
      <c r="AY151" s="27" t="s">
        <v>58</v>
      </c>
      <c r="AZ151" s="30" t="str">
        <f>"Mai "&amp;RIGHT('Kat. I'!$A$2-1,2)</f>
        <v>Mai -1</v>
      </c>
      <c r="BA151" s="31"/>
    </row>
    <row r="152" spans="47:53">
      <c r="AY152" s="27" t="s">
        <v>58</v>
      </c>
      <c r="AZ152" s="30" t="str">
        <f>"Juni "&amp;RIGHT('Kat. I'!$A$2-1,2)</f>
        <v>Juni -1</v>
      </c>
      <c r="BA152" s="31"/>
    </row>
    <row r="153" spans="47:53">
      <c r="AY153" s="27" t="s">
        <v>58</v>
      </c>
      <c r="AZ153" s="30" t="str">
        <f>"Juli "&amp;RIGHT('Kat. I'!$A$2-1,2)</f>
        <v>Juli -1</v>
      </c>
      <c r="BA153" s="31"/>
    </row>
    <row r="154" spans="47:53">
      <c r="AY154" s="27" t="s">
        <v>58</v>
      </c>
      <c r="AZ154" s="30" t="str">
        <f>"Aug. "&amp;RIGHT('Kat. I'!$A$2-1,2)</f>
        <v>Aug. -1</v>
      </c>
      <c r="BA154" s="31"/>
    </row>
    <row r="155" spans="47:53">
      <c r="AY155" s="27" t="s">
        <v>58</v>
      </c>
      <c r="AZ155" s="30" t="str">
        <f>"Sept. "&amp;RIGHT('Kat. I'!$A$2-1,2)</f>
        <v>Sept. -1</v>
      </c>
      <c r="BA155" s="31"/>
    </row>
    <row r="156" spans="47:53">
      <c r="AY156" s="27" t="s">
        <v>58</v>
      </c>
      <c r="AZ156" s="30" t="str">
        <f>"Okt. "&amp;RIGHT('Kat. I'!$A$2-1,2)</f>
        <v>Okt. -1</v>
      </c>
      <c r="BA156" s="31"/>
    </row>
    <row r="157" spans="47:53">
      <c r="AY157" s="27" t="s">
        <v>58</v>
      </c>
      <c r="AZ157" s="30" t="str">
        <f>"Nov. "&amp;RIGHT('Kat. I'!$A$2-1,2)</f>
        <v>Nov. -1</v>
      </c>
      <c r="BA157" s="31"/>
    </row>
    <row r="158" spans="47:53">
      <c r="AY158" s="27" t="s">
        <v>58</v>
      </c>
      <c r="AZ158" s="30" t="str">
        <f>"Dez. "&amp;RIGHT('Kat. I'!$A$2-1,2)</f>
        <v>Dez. -1</v>
      </c>
      <c r="BA158" s="31"/>
    </row>
  </sheetData>
  <sheetProtection sheet="1" objects="1" scenarios="1"/>
  <phoneticPr fontId="11" type="noConversion"/>
  <printOptions horizontalCentered="1"/>
  <pageMargins left="0" right="0" top="0.59055118110236227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I39"/>
  <sheetViews>
    <sheetView showGridLines="0" workbookViewId="0"/>
  </sheetViews>
  <sheetFormatPr baseColWidth="10" defaultRowHeight="12.75"/>
  <cols>
    <col min="1" max="1" width="18.7109375" style="187" customWidth="1"/>
    <col min="2" max="2" width="3.7109375" style="187" customWidth="1"/>
    <col min="3" max="3" width="32.7109375" style="187" customWidth="1"/>
    <col min="4" max="4" width="12.7109375" style="187" customWidth="1"/>
    <col min="5" max="5" width="3.28515625" style="187" customWidth="1"/>
    <col min="6" max="6" width="18.7109375" style="187" customWidth="1"/>
    <col min="7" max="7" width="3.7109375" style="187" customWidth="1"/>
    <col min="8" max="8" width="32.7109375" style="187" customWidth="1"/>
    <col min="9" max="9" width="12.7109375" style="187" customWidth="1"/>
    <col min="10" max="16384" width="11.42578125" style="187"/>
  </cols>
  <sheetData>
    <row r="1" spans="1:9" ht="26.25">
      <c r="A1" s="182" t="s">
        <v>186</v>
      </c>
      <c r="B1" s="183"/>
      <c r="C1" s="418" t="str">
        <f>IF(I1&lt;&gt;"","",C2&amp;" "&amp;'Kat. I'!A2)</f>
        <v xml:space="preserve">31. Dezember </v>
      </c>
      <c r="D1" s="419"/>
      <c r="E1" s="184"/>
      <c r="F1" s="185"/>
      <c r="G1" s="186"/>
      <c r="I1" s="377"/>
    </row>
    <row r="2" spans="1:9">
      <c r="A2" s="188"/>
      <c r="C2" s="189" t="s">
        <v>189</v>
      </c>
      <c r="F2" s="190"/>
    </row>
    <row r="3" spans="1:9" ht="20.100000000000001" customHeight="1" thickBot="1">
      <c r="A3" s="191" t="s">
        <v>188</v>
      </c>
      <c r="C3" s="192" t="s">
        <v>176</v>
      </c>
      <c r="H3" s="192" t="s">
        <v>177</v>
      </c>
    </row>
    <row r="4" spans="1:9" ht="13.5" thickBot="1">
      <c r="A4" s="193" t="s">
        <v>179</v>
      </c>
      <c r="B4" s="194" t="s">
        <v>64</v>
      </c>
      <c r="C4" s="194" t="s">
        <v>182</v>
      </c>
      <c r="D4" s="195" t="s">
        <v>178</v>
      </c>
      <c r="F4" s="193" t="s">
        <v>180</v>
      </c>
      <c r="G4" s="194" t="s">
        <v>64</v>
      </c>
      <c r="H4" s="194" t="s">
        <v>183</v>
      </c>
      <c r="I4" s="195" t="s">
        <v>178</v>
      </c>
    </row>
    <row r="5" spans="1:9">
      <c r="A5" s="202" t="s">
        <v>171</v>
      </c>
      <c r="B5" s="378"/>
      <c r="C5" s="387" t="str">
        <f>IF(B5="","",CONCATENATE(HLOOKUP(B5,Dez.!$K$3:$IV$14,10,0)," ",HLOOKUP(B5,Dez.!$K$3:$IV$14,12,0)))</f>
        <v/>
      </c>
      <c r="D5" s="388" t="str">
        <f>IF(B5="","",HLOOKUP(B5,Dez.!$K$3:$IV$7,5,0))</f>
        <v/>
      </c>
      <c r="F5" s="202" t="s">
        <v>173</v>
      </c>
      <c r="G5" s="378"/>
      <c r="H5" s="387" t="str">
        <f>IF(G5="","",CONCATENATE(HLOOKUP(G5,Dez.!$K$3:$IV$14,10,0)," ",HLOOKUP(G5,Dez.!$K$3:$IV$14,12,0)))</f>
        <v/>
      </c>
      <c r="I5" s="388" t="str">
        <f>IF(G5="","",HLOOKUP(G5,Dez.!$K$3:$IV$7,5,0)-HLOOKUP(G5,Dez.!$K$3:$IV$7,5,0)*2)</f>
        <v/>
      </c>
    </row>
    <row r="6" spans="1:9">
      <c r="A6" s="181">
        <f>SUM(D5:D25)</f>
        <v>0</v>
      </c>
      <c r="B6" s="379"/>
      <c r="C6" s="387" t="str">
        <f>IF(B6="","",CONCATENATE(HLOOKUP(B6,Dez.!$K$3:$IV$14,10,0)," ",HLOOKUP(B6,Dez.!$K$3:$IV$14,12,0)))</f>
        <v/>
      </c>
      <c r="D6" s="388" t="str">
        <f>IF(B6="","",HLOOKUP(B6,Dez.!$K$3:$IV$7,5,0))</f>
        <v/>
      </c>
      <c r="F6" s="181">
        <f>SUM(I5:I25)</f>
        <v>0</v>
      </c>
      <c r="G6" s="379"/>
      <c r="H6" s="387" t="str">
        <f>IF(G6="","",CONCATENATE(HLOOKUP(G6,Dez.!$K$3:$IV$14,10,0)," ",HLOOKUP(G6,Dez.!$K$3:$IV$14,12,0)))</f>
        <v/>
      </c>
      <c r="I6" s="388" t="str">
        <f>IF(G6="","",HLOOKUP(G6,Dez.!$K$3:$IV$7,5,0)-HLOOKUP(G6,Dez.!$K$3:$IV$7,5,0)*2)</f>
        <v/>
      </c>
    </row>
    <row r="7" spans="1:9">
      <c r="A7" s="201"/>
      <c r="B7" s="379"/>
      <c r="C7" s="387" t="str">
        <f>IF(B7="","",CONCATENATE(HLOOKUP(B7,Dez.!$K$3:$IV$14,10,0)," ",HLOOKUP(B7,Dez.!$K$3:$IV$14,12,0)))</f>
        <v/>
      </c>
      <c r="D7" s="388" t="str">
        <f>IF(B7="","",HLOOKUP(B7,Dez.!$K$3:$IV$7,5,0))</f>
        <v/>
      </c>
      <c r="F7" s="201"/>
      <c r="G7" s="379"/>
      <c r="H7" s="387" t="str">
        <f>IF(G7="","",CONCATENATE(HLOOKUP(G7,Dez.!$K$3:$IV$14,10,0)," ",HLOOKUP(G7,Dez.!$K$3:$IV$14,12,0)))</f>
        <v/>
      </c>
      <c r="I7" s="388" t="str">
        <f>IF(G7="","",HLOOKUP(G7,Dez.!$K$3:$IV$7,5,0)-HLOOKUP(G7,Dez.!$K$3:$IV$7,5,0)*2)</f>
        <v/>
      </c>
    </row>
    <row r="8" spans="1:9">
      <c r="A8" s="201"/>
      <c r="B8" s="379"/>
      <c r="C8" s="387" t="str">
        <f>IF(B8="","",CONCATENATE(HLOOKUP(B8,Dez.!$K$3:$IV$14,10,0)," ",HLOOKUP(B8,Dez.!$K$3:$IV$14,12,0)))</f>
        <v/>
      </c>
      <c r="D8" s="388" t="str">
        <f>IF(B8="","",HLOOKUP(B8,Dez.!$K$3:$IV$7,5,0))</f>
        <v/>
      </c>
      <c r="F8" s="201"/>
      <c r="G8" s="379"/>
      <c r="H8" s="387" t="str">
        <f>IF(G8="","",CONCATENATE(HLOOKUP(G8,Dez.!$K$3:$IV$14,10,0)," ",HLOOKUP(G8,Dez.!$K$3:$IV$14,12,0)))</f>
        <v/>
      </c>
      <c r="I8" s="388" t="str">
        <f>IF(G8="","",HLOOKUP(G8,Dez.!$K$3:$IV$7,5,0)-HLOOKUP(G8,Dez.!$K$3:$IV$7,5,0)*2)</f>
        <v/>
      </c>
    </row>
    <row r="9" spans="1:9">
      <c r="A9" s="201"/>
      <c r="B9" s="379"/>
      <c r="C9" s="387" t="str">
        <f>IF(B9="","",CONCATENATE(HLOOKUP(B9,Dez.!$K$3:$IV$14,10,0)," ",HLOOKUP(B9,Dez.!$K$3:$IV$14,12,0)))</f>
        <v/>
      </c>
      <c r="D9" s="388" t="str">
        <f>IF(B9="","",HLOOKUP(B9,Dez.!$K$3:$IV$7,5,0))</f>
        <v/>
      </c>
      <c r="F9" s="201"/>
      <c r="G9" s="379"/>
      <c r="H9" s="387" t="str">
        <f>IF(G9="","",CONCATENATE(HLOOKUP(G9,Dez.!$K$3:$IV$14,10,0)," ",HLOOKUP(G9,Dez.!$K$3:$IV$14,12,0)))</f>
        <v/>
      </c>
      <c r="I9" s="388" t="str">
        <f>IF(G9="","",HLOOKUP(G9,Dez.!$K$3:$IV$7,5,0)-HLOOKUP(G9,Dez.!$K$3:$IV$7,5,0)*2)</f>
        <v/>
      </c>
    </row>
    <row r="10" spans="1:9">
      <c r="A10" s="201"/>
      <c r="B10" s="379"/>
      <c r="C10" s="387" t="str">
        <f>IF(B10="","",CONCATENATE(HLOOKUP(B10,Dez.!$K$3:$IV$14,10,0)," ",HLOOKUP(B10,Dez.!$K$3:$IV$14,12,0)))</f>
        <v/>
      </c>
      <c r="D10" s="388" t="str">
        <f>IF(B10="","",HLOOKUP(B10,Dez.!$K$3:$IV$7,5,0))</f>
        <v/>
      </c>
      <c r="F10" s="201"/>
      <c r="G10" s="379"/>
      <c r="H10" s="387" t="str">
        <f>IF(G10="","",CONCATENATE(HLOOKUP(G10,Dez.!$K$3:$IV$14,10,0)," ",HLOOKUP(G10,Dez.!$K$3:$IV$14,12,0)))</f>
        <v/>
      </c>
      <c r="I10" s="388" t="str">
        <f>IF(G10="","",HLOOKUP(G10,Dez.!$K$3:$IV$7,5,0)-HLOOKUP(G10,Dez.!$K$3:$IV$7,5,0)*2)</f>
        <v/>
      </c>
    </row>
    <row r="11" spans="1:9">
      <c r="A11" s="201"/>
      <c r="B11" s="379"/>
      <c r="C11" s="387" t="str">
        <f>IF(B11="","",CONCATENATE(HLOOKUP(B11,Dez.!$K$3:$IV$14,10,0)," ",HLOOKUP(B11,Dez.!$K$3:$IV$14,12,0)))</f>
        <v/>
      </c>
      <c r="D11" s="388" t="str">
        <f>IF(B11="","",HLOOKUP(B11,Dez.!$K$3:$IV$7,5,0))</f>
        <v/>
      </c>
      <c r="F11" s="201"/>
      <c r="G11" s="379"/>
      <c r="H11" s="387" t="str">
        <f>IF(G11="","",CONCATENATE(HLOOKUP(G11,Dez.!$K$3:$IV$14,10,0)," ",HLOOKUP(G11,Dez.!$K$3:$IV$14,12,0)))</f>
        <v/>
      </c>
      <c r="I11" s="388" t="str">
        <f>IF(G11="","",HLOOKUP(G11,Dez.!$K$3:$IV$7,5,0)-HLOOKUP(G11,Dez.!$K$3:$IV$7,5,0)*2)</f>
        <v/>
      </c>
    </row>
    <row r="12" spans="1:9">
      <c r="A12" s="201"/>
      <c r="B12" s="379"/>
      <c r="C12" s="387" t="str">
        <f>IF(B12="","",CONCATENATE(HLOOKUP(B12,Dez.!$K$3:$IV$14,10,0)," ",HLOOKUP(B12,Dez.!$K$3:$IV$14,12,0)))</f>
        <v/>
      </c>
      <c r="D12" s="388" t="str">
        <f>IF(B12="","",HLOOKUP(B12,Dez.!$K$3:$IV$7,5,0))</f>
        <v/>
      </c>
      <c r="F12" s="201"/>
      <c r="G12" s="379"/>
      <c r="H12" s="387" t="str">
        <f>IF(G12="","",CONCATENATE(HLOOKUP(G12,Dez.!$K$3:$IV$14,10,0)," ",HLOOKUP(G12,Dez.!$K$3:$IV$14,12,0)))</f>
        <v/>
      </c>
      <c r="I12" s="388" t="str">
        <f>IF(G12="","",HLOOKUP(G12,Dez.!$K$3:$IV$7,5,0)-HLOOKUP(G12,Dez.!$K$3:$IV$7,5,0)*2)</f>
        <v/>
      </c>
    </row>
    <row r="13" spans="1:9">
      <c r="A13" s="201"/>
      <c r="B13" s="379"/>
      <c r="C13" s="387" t="str">
        <f>IF(B13="","",CONCATENATE(HLOOKUP(B13,Dez.!$K$3:$IV$14,10,0)," ",HLOOKUP(B13,Dez.!$K$3:$IV$14,12,0)))</f>
        <v/>
      </c>
      <c r="D13" s="388" t="str">
        <f>IF(B13="","",HLOOKUP(B13,Dez.!$K$3:$IV$7,5,0))</f>
        <v/>
      </c>
      <c r="F13" s="201"/>
      <c r="G13" s="379"/>
      <c r="H13" s="387" t="str">
        <f>IF(G13="","",CONCATENATE(HLOOKUP(G13,Dez.!$K$3:$IV$14,10,0)," ",HLOOKUP(G13,Dez.!$K$3:$IV$14,12,0)))</f>
        <v/>
      </c>
      <c r="I13" s="388" t="str">
        <f>IF(G13="","",HLOOKUP(G13,Dez.!$K$3:$IV$7,5,0)-HLOOKUP(G13,Dez.!$K$3:$IV$7,5,0)*2)</f>
        <v/>
      </c>
    </row>
    <row r="14" spans="1:9">
      <c r="A14" s="201"/>
      <c r="B14" s="379"/>
      <c r="C14" s="387" t="str">
        <f>IF(B14="","",CONCATENATE(HLOOKUP(B14,Dez.!$K$3:$IV$14,10,0)," ",HLOOKUP(B14,Dez.!$K$3:$IV$14,12,0)))</f>
        <v/>
      </c>
      <c r="D14" s="388" t="str">
        <f>IF(B14="","",HLOOKUP(B14,Dez.!$K$3:$IV$7,5,0))</f>
        <v/>
      </c>
      <c r="F14" s="201"/>
      <c r="G14" s="379"/>
      <c r="H14" s="387" t="str">
        <f>IF(G14="","",CONCATENATE(HLOOKUP(G14,Dez.!$K$3:$IV$14,10,0)," ",HLOOKUP(G14,Dez.!$K$3:$IV$14,12,0)))</f>
        <v/>
      </c>
      <c r="I14" s="388" t="str">
        <f>IF(G14="","",HLOOKUP(G14,Dez.!$K$3:$IV$7,5,0)-HLOOKUP(G14,Dez.!$K$3:$IV$7,5,0)*2)</f>
        <v/>
      </c>
    </row>
    <row r="15" spans="1:9">
      <c r="A15" s="201"/>
      <c r="B15" s="379"/>
      <c r="C15" s="387" t="str">
        <f>IF(B15="","",CONCATENATE(HLOOKUP(B15,Dez.!$K$3:$IV$14,10,0)," ",HLOOKUP(B15,Dez.!$K$3:$IV$14,12,0)))</f>
        <v/>
      </c>
      <c r="D15" s="388" t="str">
        <f>IF(B15="","",HLOOKUP(B15,Dez.!$K$3:$IV$7,5,0))</f>
        <v/>
      </c>
      <c r="F15" s="201"/>
      <c r="G15" s="379"/>
      <c r="H15" s="387" t="str">
        <f>IF(G15="","",CONCATENATE(HLOOKUP(G15,Dez.!$K$3:$IV$14,10,0)," ",HLOOKUP(G15,Dez.!$K$3:$IV$14,12,0)))</f>
        <v/>
      </c>
      <c r="I15" s="388" t="str">
        <f>IF(G15="","",HLOOKUP(G15,Dez.!$K$3:$IV$7,5,0)-HLOOKUP(G15,Dez.!$K$3:$IV$7,5,0)*2)</f>
        <v/>
      </c>
    </row>
    <row r="16" spans="1:9">
      <c r="A16" s="201"/>
      <c r="B16" s="379"/>
      <c r="C16" s="387" t="str">
        <f>IF(B16="","",CONCATENATE(HLOOKUP(B16,Dez.!$K$3:$IV$14,10,0)," ",HLOOKUP(B16,Dez.!$K$3:$IV$14,12,0)))</f>
        <v/>
      </c>
      <c r="D16" s="388" t="str">
        <f>IF(B16="","",HLOOKUP(B16,Dez.!$K$3:$IV$7,5,0))</f>
        <v/>
      </c>
      <c r="F16" s="201"/>
      <c r="G16" s="379"/>
      <c r="H16" s="387" t="str">
        <f>IF(G16="","",CONCATENATE(HLOOKUP(G16,Dez.!$K$3:$IV$14,10,0)," ",HLOOKUP(G16,Dez.!$K$3:$IV$14,12,0)))</f>
        <v/>
      </c>
      <c r="I16" s="388" t="str">
        <f>IF(G16="","",HLOOKUP(G16,Dez.!$K$3:$IV$7,5,0)-HLOOKUP(G16,Dez.!$K$3:$IV$7,5,0)*2)</f>
        <v/>
      </c>
    </row>
    <row r="17" spans="1:9">
      <c r="A17" s="201"/>
      <c r="B17" s="379"/>
      <c r="C17" s="387" t="str">
        <f>IF(B17="","",CONCATENATE(HLOOKUP(B17,Dez.!$K$3:$IV$14,10,0)," ",HLOOKUP(B17,Dez.!$K$3:$IV$14,12,0)))</f>
        <v/>
      </c>
      <c r="D17" s="388" t="str">
        <f>IF(B17="","",HLOOKUP(B17,Dez.!$K$3:$IV$7,5,0))</f>
        <v/>
      </c>
      <c r="F17" s="201"/>
      <c r="G17" s="379"/>
      <c r="H17" s="387" t="str">
        <f>IF(G17="","",CONCATENATE(HLOOKUP(G17,Dez.!$K$3:$IV$14,10,0)," ",HLOOKUP(G17,Dez.!$K$3:$IV$14,12,0)))</f>
        <v/>
      </c>
      <c r="I17" s="388" t="str">
        <f>IF(G17="","",HLOOKUP(G17,Dez.!$K$3:$IV$7,5,0)-HLOOKUP(G17,Dez.!$K$3:$IV$7,5,0)*2)</f>
        <v/>
      </c>
    </row>
    <row r="18" spans="1:9">
      <c r="A18" s="201"/>
      <c r="B18" s="379"/>
      <c r="C18" s="387" t="str">
        <f>IF(B18="","",CONCATENATE(HLOOKUP(B18,Dez.!$K$3:$IV$14,10,0)," ",HLOOKUP(B18,Dez.!$K$3:$IV$14,12,0)))</f>
        <v/>
      </c>
      <c r="D18" s="388" t="str">
        <f>IF(B18="","",HLOOKUP(B18,Dez.!$K$3:$IV$7,5,0))</f>
        <v/>
      </c>
      <c r="F18" s="201"/>
      <c r="G18" s="379"/>
      <c r="H18" s="387" t="str">
        <f>IF(G18="","",CONCATENATE(HLOOKUP(G18,Dez.!$K$3:$IV$14,10,0)," ",HLOOKUP(G18,Dez.!$K$3:$IV$14,12,0)))</f>
        <v/>
      </c>
      <c r="I18" s="388" t="str">
        <f>IF(G18="","",HLOOKUP(G18,Dez.!$K$3:$IV$7,5,0)-HLOOKUP(G18,Dez.!$K$3:$IV$7,5,0)*2)</f>
        <v/>
      </c>
    </row>
    <row r="19" spans="1:9">
      <c r="A19" s="201"/>
      <c r="B19" s="379"/>
      <c r="C19" s="387" t="str">
        <f>IF(B19="","",CONCATENATE(HLOOKUP(B19,Dez.!$K$3:$IV$14,10,0)," ",HLOOKUP(B19,Dez.!$K$3:$IV$14,12,0)))</f>
        <v/>
      </c>
      <c r="D19" s="388" t="str">
        <f>IF(B19="","",HLOOKUP(B19,Dez.!$K$3:$IV$7,5,0))</f>
        <v/>
      </c>
      <c r="F19" s="201"/>
      <c r="G19" s="379"/>
      <c r="H19" s="387" t="str">
        <f>IF(G19="","",CONCATENATE(HLOOKUP(G19,Dez.!$K$3:$IV$14,10,0)," ",HLOOKUP(G19,Dez.!$K$3:$IV$14,12,0)))</f>
        <v/>
      </c>
      <c r="I19" s="388" t="str">
        <f>IF(G19="","",HLOOKUP(G19,Dez.!$K$3:$IV$7,5,0)-HLOOKUP(G19,Dez.!$K$3:$IV$7,5,0)*2)</f>
        <v/>
      </c>
    </row>
    <row r="20" spans="1:9">
      <c r="A20" s="201"/>
      <c r="B20" s="379"/>
      <c r="C20" s="387" t="str">
        <f>IF(B20="","",CONCATENATE(HLOOKUP(B20,Dez.!$K$3:$IV$14,10,0)," ",HLOOKUP(B20,Dez.!$K$3:$IV$14,12,0)))</f>
        <v/>
      </c>
      <c r="D20" s="388" t="str">
        <f>IF(B20="","",HLOOKUP(B20,Dez.!$K$3:$IV$7,5,0))</f>
        <v/>
      </c>
      <c r="F20" s="201"/>
      <c r="G20" s="379"/>
      <c r="H20" s="387" t="str">
        <f>IF(G20="","",CONCATENATE(HLOOKUP(G20,Dez.!$K$3:$IV$14,10,0)," ",HLOOKUP(G20,Dez.!$K$3:$IV$14,12,0)))</f>
        <v/>
      </c>
      <c r="I20" s="388" t="str">
        <f>IF(G20="","",HLOOKUP(G20,Dez.!$K$3:$IV$7,5,0)-HLOOKUP(G20,Dez.!$K$3:$IV$7,5,0)*2)</f>
        <v/>
      </c>
    </row>
    <row r="21" spans="1:9">
      <c r="A21" s="201"/>
      <c r="B21" s="379"/>
      <c r="C21" s="387" t="str">
        <f>IF(B21="","",CONCATENATE(HLOOKUP(B21,Dez.!$K$3:$IV$14,10,0)," ",HLOOKUP(B21,Dez.!$K$3:$IV$14,12,0)))</f>
        <v/>
      </c>
      <c r="D21" s="388" t="str">
        <f>IF(B21="","",HLOOKUP(B21,Dez.!$K$3:$IV$7,5,0))</f>
        <v/>
      </c>
      <c r="F21" s="201"/>
      <c r="G21" s="379"/>
      <c r="H21" s="387" t="str">
        <f>IF(G21="","",CONCATENATE(HLOOKUP(G21,Dez.!$K$3:$IV$14,10,0)," ",HLOOKUP(G21,Dez.!$K$3:$IV$14,12,0)))</f>
        <v/>
      </c>
      <c r="I21" s="388" t="str">
        <f>IF(G21="","",HLOOKUP(G21,Dez.!$K$3:$IV$7,5,0)-HLOOKUP(G21,Dez.!$K$3:$IV$7,5,0)*2)</f>
        <v/>
      </c>
    </row>
    <row r="22" spans="1:9">
      <c r="A22" s="201"/>
      <c r="B22" s="379"/>
      <c r="C22" s="387" t="str">
        <f>IF(B22="","",CONCATENATE(HLOOKUP(B22,Dez.!$K$3:$IV$14,10,0)," ",HLOOKUP(B22,Dez.!$K$3:$IV$14,12,0)))</f>
        <v/>
      </c>
      <c r="D22" s="388" t="str">
        <f>IF(B22="","",HLOOKUP(B22,Dez.!$K$3:$IV$7,5,0))</f>
        <v/>
      </c>
      <c r="F22" s="201"/>
      <c r="G22" s="379"/>
      <c r="H22" s="387" t="str">
        <f>IF(G22="","",CONCATENATE(HLOOKUP(G22,Dez.!$K$3:$IV$14,10,0)," ",HLOOKUP(G22,Dez.!$K$3:$IV$14,12,0)))</f>
        <v/>
      </c>
      <c r="I22" s="388" t="str">
        <f>IF(G22="","",HLOOKUP(G22,Dez.!$K$3:$IV$7,5,0)-HLOOKUP(G22,Dez.!$K$3:$IV$7,5,0)*2)</f>
        <v/>
      </c>
    </row>
    <row r="23" spans="1:9">
      <c r="A23" s="201"/>
      <c r="B23" s="379"/>
      <c r="C23" s="387" t="str">
        <f>IF(B23="","",CONCATENATE(HLOOKUP(B23,Dez.!$K$3:$IV$14,10,0)," ",HLOOKUP(B23,Dez.!$K$3:$IV$14,12,0)))</f>
        <v/>
      </c>
      <c r="D23" s="388" t="str">
        <f>IF(B23="","",HLOOKUP(B23,Dez.!$K$3:$IV$7,5,0))</f>
        <v/>
      </c>
      <c r="F23" s="201"/>
      <c r="G23" s="379"/>
      <c r="H23" s="387" t="str">
        <f>IF(G23="","",CONCATENATE(HLOOKUP(G23,Dez.!$K$3:$IV$14,10,0)," ",HLOOKUP(G23,Dez.!$K$3:$IV$14,12,0)))</f>
        <v/>
      </c>
      <c r="I23" s="388" t="str">
        <f>IF(G23="","",HLOOKUP(G23,Dez.!$K$3:$IV$7,5,0)-HLOOKUP(G23,Dez.!$K$3:$IV$7,5,0)*2)</f>
        <v/>
      </c>
    </row>
    <row r="24" spans="1:9">
      <c r="A24" s="201"/>
      <c r="B24" s="379"/>
      <c r="C24" s="387" t="str">
        <f>IF(B24="","",CONCATENATE(HLOOKUP(B24,Dez.!$K$3:$IV$14,10,0)," ",HLOOKUP(B24,Dez.!$K$3:$IV$14,12,0)))</f>
        <v/>
      </c>
      <c r="D24" s="388" t="str">
        <f>IF(B24="","",HLOOKUP(B24,Dez.!$K$3:$IV$7,5,0))</f>
        <v/>
      </c>
      <c r="F24" s="201"/>
      <c r="G24" s="379"/>
      <c r="H24" s="387" t="str">
        <f>IF(G24="","",CONCATENATE(HLOOKUP(G24,Dez.!$K$3:$IV$14,10,0)," ",HLOOKUP(G24,Dez.!$K$3:$IV$14,12,0)))</f>
        <v/>
      </c>
      <c r="I24" s="388" t="str">
        <f>IF(G24="","",HLOOKUP(G24,Dez.!$K$3:$IV$7,5,0)-HLOOKUP(G24,Dez.!$K$3:$IV$7,5,0)*2)</f>
        <v/>
      </c>
    </row>
    <row r="25" spans="1:9">
      <c r="A25" s="201"/>
      <c r="B25" s="379"/>
      <c r="C25" s="387" t="str">
        <f>IF(B25="","",CONCATENATE(HLOOKUP(B25,Dez.!$K$3:$IV$14,10,0)," ",HLOOKUP(B25,Dez.!$K$3:$IV$14,12,0)))</f>
        <v/>
      </c>
      <c r="D25" s="388" t="str">
        <f>IF(B25="","",HLOOKUP(B25,Dez.!$K$3:$IV$7,5,0))</f>
        <v/>
      </c>
      <c r="F25" s="201"/>
      <c r="G25" s="379"/>
      <c r="H25" s="387" t="str">
        <f>IF(G25="","",CONCATENATE(HLOOKUP(G25,Dez.!$K$3:$IV$14,10,0)," ",HLOOKUP(G25,Dez.!$K$3:$IV$14,12,0)))</f>
        <v/>
      </c>
      <c r="I25" s="388" t="str">
        <f>IF(G25="","",HLOOKUP(G25,Dez.!$K$3:$IV$7,5,0)-HLOOKUP(G25,Dez.!$K$3:$IV$7,5,0)*2)</f>
        <v/>
      </c>
    </row>
    <row r="26" spans="1:9">
      <c r="A26" s="180" t="s">
        <v>172</v>
      </c>
      <c r="B26" s="379"/>
      <c r="C26" s="387" t="str">
        <f>IF(B26="","",CONCATENATE(HLOOKUP(B26,Dez.!$K$3:$IV$14,10,0)," ",HLOOKUP(B26,Dez.!$K$3:$IV$14,12,0)))</f>
        <v/>
      </c>
      <c r="D26" s="388" t="str">
        <f>IF(B26="","",HLOOKUP(B26,Dez.!$K$3:$IV$7,5,0))</f>
        <v/>
      </c>
      <c r="F26" s="180" t="s">
        <v>174</v>
      </c>
      <c r="G26" s="381"/>
      <c r="H26" s="383" t="s">
        <v>184</v>
      </c>
      <c r="I26" s="196">
        <f>D35-SUM(I5:I25)-SUM(I27:I33)</f>
        <v>0</v>
      </c>
    </row>
    <row r="27" spans="1:9">
      <c r="A27" s="181">
        <f>SUM(D26:D33)</f>
        <v>0</v>
      </c>
      <c r="B27" s="379"/>
      <c r="C27" s="387" t="str">
        <f>IF(B27="","",CONCATENATE(HLOOKUP(B27,Dez.!$K$3:$IV$14,10,0)," ",HLOOKUP(B27,Dez.!$K$3:$IV$14,12,0)))</f>
        <v/>
      </c>
      <c r="D27" s="388" t="str">
        <f>IF(B27="","",HLOOKUP(B27,Dez.!$K$3:$IV$7,5,0))</f>
        <v/>
      </c>
      <c r="F27" s="181">
        <f>SUM(I26:I33)</f>
        <v>0</v>
      </c>
      <c r="G27" s="381"/>
      <c r="H27" s="383"/>
      <c r="I27" s="384"/>
    </row>
    <row r="28" spans="1:9">
      <c r="A28" s="201"/>
      <c r="B28" s="379"/>
      <c r="C28" s="387" t="str">
        <f>IF(B28="","",CONCATENATE(HLOOKUP(B28,Dez.!$K$3:$IV$14,10,0)," ",HLOOKUP(B28,Dez.!$K$3:$IV$14,12,0)))</f>
        <v/>
      </c>
      <c r="D28" s="388" t="str">
        <f>IF(B28="","",HLOOKUP(B28,Dez.!$K$3:$IV$7,5,0))</f>
        <v/>
      </c>
      <c r="F28" s="201"/>
      <c r="G28" s="381"/>
      <c r="H28" s="383"/>
      <c r="I28" s="384"/>
    </row>
    <row r="29" spans="1:9">
      <c r="A29" s="201"/>
      <c r="B29" s="379"/>
      <c r="C29" s="387" t="str">
        <f>IF(B29="","",CONCATENATE(HLOOKUP(B29,Dez.!$K$3:$IV$14,10,0)," ",HLOOKUP(B29,Dez.!$K$3:$IV$14,12,0)))</f>
        <v/>
      </c>
      <c r="D29" s="388" t="str">
        <f>IF(B29="","",HLOOKUP(B29,Dez.!$K$3:$IV$7,5,0))</f>
        <v/>
      </c>
      <c r="F29" s="201"/>
      <c r="G29" s="381"/>
      <c r="H29" s="383"/>
      <c r="I29" s="384"/>
    </row>
    <row r="30" spans="1:9">
      <c r="A30" s="201"/>
      <c r="B30" s="379"/>
      <c r="C30" s="387" t="str">
        <f>IF(B30="","",CONCATENATE(HLOOKUP(B30,Dez.!$K$3:$IV$14,10,0)," ",HLOOKUP(B30,Dez.!$K$3:$IV$14,12,0)))</f>
        <v/>
      </c>
      <c r="D30" s="388" t="str">
        <f>IF(B30="","",HLOOKUP(B30,Dez.!$K$3:$IV$7,5,0))</f>
        <v/>
      </c>
      <c r="F30" s="201"/>
      <c r="G30" s="381"/>
      <c r="H30" s="383"/>
      <c r="I30" s="384"/>
    </row>
    <row r="31" spans="1:9">
      <c r="A31" s="201"/>
      <c r="B31" s="379"/>
      <c r="C31" s="387" t="str">
        <f>IF(B31="","",CONCATENATE(HLOOKUP(B31,Dez.!$K$3:$IV$14,10,0)," ",HLOOKUP(B31,Dez.!$K$3:$IV$14,12,0)))</f>
        <v/>
      </c>
      <c r="D31" s="388" t="str">
        <f>IF(B31="","",HLOOKUP(B31,Dez.!$K$3:$IV$7,5,0))</f>
        <v/>
      </c>
      <c r="F31" s="201"/>
      <c r="G31" s="381"/>
      <c r="H31" s="383"/>
      <c r="I31" s="384"/>
    </row>
    <row r="32" spans="1:9">
      <c r="A32" s="201"/>
      <c r="B32" s="379"/>
      <c r="C32" s="387" t="str">
        <f>IF(B32="","",CONCATENATE(HLOOKUP(B32,Dez.!$K$3:$IV$14,10,0)," ",HLOOKUP(B32,Dez.!$K$3:$IV$14,12,0)))</f>
        <v/>
      </c>
      <c r="D32" s="388" t="str">
        <f>IF(B32="","",HLOOKUP(B32,Dez.!$K$3:$IV$7,5,0))</f>
        <v/>
      </c>
      <c r="F32" s="201"/>
      <c r="G32" s="381"/>
      <c r="H32" s="383"/>
      <c r="I32" s="384"/>
    </row>
    <row r="33" spans="1:9" ht="13.5" thickBot="1">
      <c r="A33" s="203"/>
      <c r="B33" s="380"/>
      <c r="C33" s="387" t="str">
        <f>IF(B33="","",CONCATENATE(HLOOKUP(B33,Dez.!$K$3:$IV$14,10,0)," ",HLOOKUP(B33,Dez.!$K$3:$IV$14,12,0)))</f>
        <v/>
      </c>
      <c r="D33" s="388" t="str">
        <f>IF(B33="","",HLOOKUP(B33,Dez.!$K$3:$IV$7,5,0))</f>
        <v/>
      </c>
      <c r="F33" s="203"/>
      <c r="G33" s="382"/>
      <c r="H33" s="385"/>
      <c r="I33" s="386"/>
    </row>
    <row r="34" spans="1:9">
      <c r="A34" s="204"/>
      <c r="B34" s="205"/>
      <c r="C34" s="204" t="str">
        <f>IF(B34="","",CONCATENATE(HLOOKUP(B34,Dez.!$K$3:$IV$14,10,0)," ",HLOOKUP(B34,Dez.!$K$3:$IV$14,12,0)))</f>
        <v/>
      </c>
      <c r="D34" s="204" t="str">
        <f>IF(B34="","",HLOOKUP(B34,Dez.!$K$3:$IV$7,5,0))</f>
        <v/>
      </c>
      <c r="F34" s="204"/>
      <c r="G34" s="204"/>
      <c r="H34" s="204"/>
      <c r="I34" s="204"/>
    </row>
    <row r="35" spans="1:9">
      <c r="A35" s="197" t="s">
        <v>181</v>
      </c>
      <c r="D35" s="198">
        <f>SUM(D5:D33)</f>
        <v>0</v>
      </c>
      <c r="I35" s="198">
        <f>SUM(I5:I33)</f>
        <v>0</v>
      </c>
    </row>
    <row r="37" spans="1:9">
      <c r="A37" s="197" t="s">
        <v>175</v>
      </c>
      <c r="D37" s="199" t="e">
        <f>F27/I35</f>
        <v>#DIV/0!</v>
      </c>
    </row>
    <row r="39" spans="1:9">
      <c r="A39" s="200" t="s">
        <v>246</v>
      </c>
    </row>
  </sheetData>
  <sheetProtection sheet="1" objects="1" scenarios="1"/>
  <mergeCells count="1">
    <mergeCell ref="C1:D1"/>
  </mergeCells>
  <phoneticPr fontId="11" type="noConversion"/>
  <pageMargins left="0.39370078740157483" right="0.39370078740157483" top="0.78740157480314965" bottom="0.19685039370078741" header="0.51181102362204722" footer="0.11811023622047245"/>
  <pageSetup paperSize="9" orientation="landscape" horizontalDpi="4294967293" verticalDpi="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J38"/>
  <sheetViews>
    <sheetView showRowColHeaders="0"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customHeight="1"/>
  <cols>
    <col min="1" max="1" width="1.7109375" style="156" customWidth="1"/>
    <col min="2" max="2" width="16.7109375" style="156" customWidth="1"/>
    <col min="3" max="3" width="78.7109375" style="156" customWidth="1"/>
    <col min="4" max="4" width="10.7109375" style="156" customWidth="1"/>
    <col min="5" max="8" width="7.7109375" style="156" customWidth="1"/>
    <col min="9" max="16384" width="11.42578125" style="156"/>
  </cols>
  <sheetData>
    <row r="1" spans="1:10" ht="20.25">
      <c r="A1" s="155" t="str">
        <f>"Journal der Kapitalverschiebungen, Kapitalerträge und Vermögensverwaltungsspesen "&amp;'Kat. I'!A2</f>
        <v xml:space="preserve">Journal der Kapitalverschiebungen, Kapitalerträge und Vermögensverwaltungsspesen </v>
      </c>
      <c r="H1" s="157"/>
    </row>
    <row r="2" spans="1:10" ht="15" customHeight="1">
      <c r="H2" s="157" t="s">
        <v>170</v>
      </c>
    </row>
    <row r="3" spans="1:10" ht="15" customHeight="1">
      <c r="A3" s="158"/>
      <c r="B3" s="159"/>
      <c r="C3" s="160"/>
      <c r="D3" s="161" t="s">
        <v>119</v>
      </c>
      <c r="E3" s="162" t="str">
        <f>"Erträge in "&amp;'Kat. I'!D6</f>
        <v>Erträge in CHF</v>
      </c>
      <c r="F3" s="163"/>
      <c r="G3" s="164"/>
      <c r="H3" s="165"/>
    </row>
    <row r="4" spans="1:10" ht="15" customHeight="1">
      <c r="A4" s="166" t="s">
        <v>120</v>
      </c>
      <c r="B4" s="166" t="s">
        <v>121</v>
      </c>
      <c r="C4" s="166" t="s">
        <v>122</v>
      </c>
      <c r="D4" s="167" t="str">
        <f>"Kapital in "&amp;'Kat. I'!D6</f>
        <v>Kapital in CHF</v>
      </c>
      <c r="E4" s="166" t="s">
        <v>123</v>
      </c>
      <c r="F4" s="166" t="s">
        <v>124</v>
      </c>
      <c r="G4" s="166" t="s">
        <v>125</v>
      </c>
      <c r="H4" s="166" t="s">
        <v>126</v>
      </c>
      <c r="I4" s="322" t="s">
        <v>107</v>
      </c>
      <c r="J4" s="156" t="s">
        <v>35</v>
      </c>
    </row>
    <row r="5" spans="1:10" ht="15" customHeight="1">
      <c r="A5" s="311"/>
      <c r="B5" s="312"/>
      <c r="C5" s="312"/>
      <c r="D5" s="313"/>
      <c r="E5" s="313"/>
      <c r="F5" s="313"/>
      <c r="G5" s="313"/>
      <c r="H5" s="313"/>
    </row>
    <row r="6" spans="1:10" ht="15" customHeight="1">
      <c r="A6" s="311"/>
      <c r="B6" s="314"/>
      <c r="C6" s="315"/>
      <c r="D6" s="316"/>
      <c r="E6" s="316"/>
      <c r="F6" s="316"/>
      <c r="G6" s="316"/>
      <c r="H6" s="316"/>
    </row>
    <row r="7" spans="1:10" ht="15" customHeight="1">
      <c r="A7" s="317"/>
      <c r="B7" s="314"/>
      <c r="C7" s="315"/>
      <c r="D7" s="316"/>
      <c r="E7" s="316"/>
      <c r="F7" s="316"/>
      <c r="G7" s="316"/>
      <c r="H7" s="316"/>
    </row>
    <row r="8" spans="1:10" ht="15" customHeight="1">
      <c r="A8" s="317"/>
      <c r="B8" s="314"/>
      <c r="C8" s="315"/>
      <c r="D8" s="316"/>
      <c r="E8" s="316"/>
      <c r="F8" s="316"/>
      <c r="G8" s="316"/>
      <c r="H8" s="316"/>
    </row>
    <row r="9" spans="1:10" ht="15" customHeight="1">
      <c r="A9" s="317"/>
      <c r="B9" s="314"/>
      <c r="C9" s="315"/>
      <c r="D9" s="316"/>
      <c r="E9" s="316"/>
      <c r="F9" s="316"/>
      <c r="G9" s="316"/>
      <c r="H9" s="316"/>
    </row>
    <row r="10" spans="1:10" ht="15" customHeight="1">
      <c r="A10" s="317"/>
      <c r="B10" s="314"/>
      <c r="C10" s="315"/>
      <c r="D10" s="316"/>
      <c r="E10" s="316"/>
      <c r="F10" s="316"/>
      <c r="G10" s="316"/>
      <c r="H10" s="316"/>
    </row>
    <row r="11" spans="1:10" ht="15" customHeight="1">
      <c r="A11" s="317"/>
      <c r="B11" s="314"/>
      <c r="C11" s="315"/>
      <c r="D11" s="316"/>
      <c r="E11" s="316"/>
      <c r="F11" s="316"/>
      <c r="G11" s="316"/>
      <c r="H11" s="316"/>
    </row>
    <row r="12" spans="1:10" ht="15" customHeight="1">
      <c r="A12" s="317"/>
      <c r="B12" s="314"/>
      <c r="C12" s="315"/>
      <c r="D12" s="316"/>
      <c r="E12" s="316"/>
      <c r="F12" s="316"/>
      <c r="G12" s="316"/>
      <c r="H12" s="316"/>
    </row>
    <row r="13" spans="1:10" ht="15" customHeight="1">
      <c r="A13" s="317"/>
      <c r="B13" s="314"/>
      <c r="C13" s="315"/>
      <c r="D13" s="316"/>
      <c r="E13" s="316"/>
      <c r="F13" s="316"/>
      <c r="G13" s="316"/>
      <c r="H13" s="316"/>
    </row>
    <row r="14" spans="1:10" ht="15" customHeight="1">
      <c r="A14" s="317"/>
      <c r="B14" s="314"/>
      <c r="C14" s="315"/>
      <c r="D14" s="316"/>
      <c r="E14" s="316"/>
      <c r="F14" s="316"/>
      <c r="G14" s="316"/>
      <c r="H14" s="316"/>
    </row>
    <row r="15" spans="1:10" ht="15" customHeight="1">
      <c r="A15" s="317"/>
      <c r="B15" s="314"/>
      <c r="C15" s="315"/>
      <c r="D15" s="316"/>
      <c r="E15" s="316"/>
      <c r="F15" s="316"/>
      <c r="G15" s="316"/>
      <c r="H15" s="316"/>
    </row>
    <row r="16" spans="1:10" ht="15" customHeight="1">
      <c r="A16" s="317"/>
      <c r="B16" s="314"/>
      <c r="C16" s="315"/>
      <c r="D16" s="316"/>
      <c r="E16" s="316"/>
      <c r="F16" s="316"/>
      <c r="G16" s="316"/>
      <c r="H16" s="316"/>
    </row>
    <row r="17" spans="1:10" ht="15" customHeight="1">
      <c r="A17" s="317"/>
      <c r="B17" s="318"/>
      <c r="C17" s="315"/>
      <c r="D17" s="319"/>
      <c r="E17" s="319"/>
      <c r="F17" s="319"/>
      <c r="G17" s="319"/>
      <c r="H17" s="319"/>
      <c r="I17" s="310"/>
    </row>
    <row r="18" spans="1:10" ht="15" customHeight="1">
      <c r="A18" s="317"/>
      <c r="B18" s="318"/>
      <c r="C18" s="315"/>
      <c r="D18" s="319"/>
      <c r="E18" s="319"/>
      <c r="F18" s="319"/>
      <c r="G18" s="319"/>
      <c r="H18" s="319"/>
      <c r="I18" s="310"/>
    </row>
    <row r="19" spans="1:10" ht="15" customHeight="1">
      <c r="A19" s="317"/>
      <c r="B19" s="318"/>
      <c r="C19" s="315"/>
      <c r="D19" s="316"/>
      <c r="E19" s="319"/>
      <c r="F19" s="319"/>
      <c r="G19" s="319"/>
      <c r="H19" s="319"/>
      <c r="I19" s="310"/>
    </row>
    <row r="20" spans="1:10" ht="15" customHeight="1">
      <c r="A20" s="317"/>
      <c r="B20" s="318"/>
      <c r="C20" s="315"/>
      <c r="D20" s="319"/>
      <c r="E20" s="319"/>
      <c r="F20" s="319"/>
      <c r="G20" s="319"/>
      <c r="H20" s="319"/>
      <c r="I20" s="310"/>
    </row>
    <row r="21" spans="1:10" ht="15" customHeight="1">
      <c r="A21" s="317"/>
      <c r="B21" s="314"/>
      <c r="C21" s="315"/>
      <c r="D21" s="319"/>
      <c r="E21" s="319"/>
      <c r="F21" s="319"/>
      <c r="G21" s="319"/>
      <c r="H21" s="319"/>
      <c r="I21" s="310"/>
    </row>
    <row r="22" spans="1:10" ht="15" customHeight="1">
      <c r="A22" s="317"/>
      <c r="B22" s="314"/>
      <c r="C22" s="315"/>
      <c r="D22" s="319"/>
      <c r="E22" s="320"/>
      <c r="F22" s="320"/>
      <c r="G22" s="320"/>
      <c r="H22" s="320"/>
      <c r="I22" s="310"/>
    </row>
    <row r="23" spans="1:10" ht="15" customHeight="1">
      <c r="A23" s="317"/>
      <c r="B23" s="318"/>
      <c r="C23" s="315"/>
      <c r="D23" s="319"/>
      <c r="E23" s="320"/>
      <c r="F23" s="320"/>
      <c r="G23" s="320"/>
      <c r="H23" s="320"/>
      <c r="I23" s="310"/>
      <c r="J23" s="310"/>
    </row>
    <row r="24" spans="1:10" ht="15" customHeight="1">
      <c r="A24" s="317"/>
      <c r="B24" s="318"/>
      <c r="C24" s="315"/>
      <c r="D24" s="319"/>
      <c r="E24" s="319"/>
      <c r="F24" s="319"/>
      <c r="G24" s="319"/>
      <c r="H24" s="319"/>
      <c r="I24" s="310"/>
      <c r="J24" s="310"/>
    </row>
    <row r="25" spans="1:10" ht="15" customHeight="1">
      <c r="A25" s="317"/>
      <c r="B25" s="318"/>
      <c r="C25" s="315"/>
      <c r="D25" s="319"/>
      <c r="E25" s="319"/>
      <c r="F25" s="319"/>
      <c r="G25" s="319"/>
      <c r="H25" s="319"/>
      <c r="I25" s="310"/>
      <c r="J25" s="310"/>
    </row>
    <row r="26" spans="1:10" ht="15" customHeight="1">
      <c r="A26" s="317"/>
      <c r="B26" s="318"/>
      <c r="C26" s="315"/>
      <c r="D26" s="319"/>
      <c r="E26" s="319"/>
      <c r="F26" s="319"/>
      <c r="G26" s="319"/>
      <c r="H26" s="319"/>
      <c r="I26" s="310"/>
      <c r="J26" s="310"/>
    </row>
    <row r="27" spans="1:10" ht="15" customHeight="1">
      <c r="A27" s="321"/>
      <c r="B27" s="318"/>
      <c r="C27" s="315"/>
      <c r="D27" s="319"/>
      <c r="E27" s="319"/>
      <c r="F27" s="319"/>
      <c r="G27" s="319"/>
      <c r="H27" s="319"/>
      <c r="I27" s="310"/>
      <c r="J27" s="310"/>
    </row>
    <row r="28" spans="1:10" ht="15" customHeight="1">
      <c r="A28" s="321"/>
      <c r="B28" s="318"/>
      <c r="C28" s="315"/>
      <c r="D28" s="319"/>
      <c r="E28" s="319"/>
      <c r="F28" s="319"/>
      <c r="G28" s="319"/>
      <c r="H28" s="319"/>
      <c r="I28" s="310"/>
      <c r="J28" s="310"/>
    </row>
    <row r="29" spans="1:10" ht="15" customHeight="1">
      <c r="A29" s="321"/>
      <c r="B29" s="318"/>
      <c r="C29" s="315"/>
      <c r="D29" s="319"/>
      <c r="E29" s="319"/>
      <c r="F29" s="319"/>
      <c r="G29" s="319"/>
      <c r="H29" s="319"/>
      <c r="I29" s="310"/>
      <c r="J29" s="310"/>
    </row>
    <row r="30" spans="1:10" ht="15" customHeight="1">
      <c r="A30" s="321"/>
      <c r="B30" s="318"/>
      <c r="C30" s="315"/>
      <c r="D30" s="319"/>
      <c r="E30" s="319"/>
      <c r="F30" s="319"/>
      <c r="G30" s="319"/>
      <c r="H30" s="319"/>
      <c r="I30" s="310"/>
      <c r="J30" s="310"/>
    </row>
    <row r="31" spans="1:10" ht="15" customHeight="1">
      <c r="A31" s="321"/>
      <c r="B31" s="318"/>
      <c r="C31" s="315"/>
      <c r="D31" s="319"/>
      <c r="E31" s="319"/>
      <c r="F31" s="319"/>
      <c r="G31" s="319"/>
      <c r="H31" s="319"/>
      <c r="I31" s="310"/>
      <c r="J31" s="310"/>
    </row>
    <row r="32" spans="1:10" ht="15" customHeight="1">
      <c r="A32" s="321"/>
      <c r="B32" s="318"/>
      <c r="C32" s="315"/>
      <c r="D32" s="319"/>
      <c r="E32" s="319"/>
      <c r="F32" s="319"/>
      <c r="G32" s="319"/>
      <c r="H32" s="319"/>
    </row>
    <row r="33" spans="1:8" ht="15" customHeight="1">
      <c r="A33" s="321"/>
      <c r="B33" s="318"/>
      <c r="C33" s="315"/>
      <c r="D33" s="319"/>
      <c r="E33" s="319"/>
      <c r="F33" s="319"/>
      <c r="G33" s="319"/>
      <c r="H33" s="319"/>
    </row>
    <row r="34" spans="1:8" ht="15" customHeight="1">
      <c r="A34" s="321"/>
      <c r="B34" s="318"/>
      <c r="C34" s="315"/>
      <c r="D34" s="319"/>
      <c r="E34" s="319"/>
      <c r="F34" s="319"/>
      <c r="G34" s="319"/>
      <c r="H34" s="319"/>
    </row>
    <row r="35" spans="1:8" ht="15" customHeight="1">
      <c r="A35" s="321"/>
      <c r="B35" s="318"/>
      <c r="C35" s="315"/>
      <c r="D35" s="319"/>
      <c r="E35" s="319"/>
      <c r="F35" s="319"/>
      <c r="G35" s="319"/>
      <c r="H35" s="319"/>
    </row>
    <row r="36" spans="1:8" ht="15" customHeight="1">
      <c r="A36" s="158"/>
      <c r="B36" s="168"/>
      <c r="C36" s="165" t="s">
        <v>110</v>
      </c>
      <c r="D36" s="169">
        <f>SUM(D5:D35)</f>
        <v>0</v>
      </c>
      <c r="E36" s="169">
        <f>SUM(E5:E35)</f>
        <v>0</v>
      </c>
      <c r="F36" s="169">
        <f>SUM(F5:F35)</f>
        <v>0</v>
      </c>
      <c r="G36" s="169">
        <f>SUM(G5:G35)</f>
        <v>0</v>
      </c>
      <c r="H36" s="169">
        <f>SUM(H5:H35)</f>
        <v>0</v>
      </c>
    </row>
    <row r="38" spans="1:8" ht="15" customHeight="1">
      <c r="D38" s="156" t="s">
        <v>127</v>
      </c>
    </row>
  </sheetData>
  <sheetProtection sheet="1" objects="1" scenarios="1"/>
  <phoneticPr fontId="10" type="noConversion"/>
  <printOptions horizontalCentered="1"/>
  <pageMargins left="0" right="0" top="0.78740157480314965" bottom="0.39370078740157483" header="0" footer="0"/>
  <pageSetup paperSize="9" scale="85" orientation="landscape" horizontalDpi="4294967295" verticalDpi="300" r:id="rId1"/>
  <headerFooter alignWithMargins="0">
    <oddFooter>&amp;L&amp;F&amp;RSeite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X1530"/>
  <sheetViews>
    <sheetView workbookViewId="0"/>
  </sheetViews>
  <sheetFormatPr baseColWidth="10" defaultRowHeight="12.75"/>
  <cols>
    <col min="1" max="6" width="11.28515625" style="2" customWidth="1"/>
    <col min="7" max="7" width="2.7109375" style="2" customWidth="1"/>
    <col min="8" max="13" width="11.28515625" style="2" customWidth="1"/>
    <col min="14" max="14" width="10.7109375" style="2" customWidth="1"/>
    <col min="15" max="15" width="0.28515625" style="2" customWidth="1"/>
    <col min="16" max="17" width="10.7109375" style="2" customWidth="1"/>
    <col min="18" max="19" width="14.7109375" style="2" customWidth="1"/>
    <col min="20" max="22" width="10.7109375" style="2" customWidth="1"/>
    <col min="23" max="24" width="14.7109375" style="2" customWidth="1"/>
    <col min="25" max="28" width="11.5703125" style="2" bestFit="1" customWidth="1"/>
    <col min="29" max="16384" width="11.42578125" style="2"/>
  </cols>
  <sheetData>
    <row r="1" spans="1:24" ht="15.75">
      <c r="A1" s="206" t="str">
        <f>"Abschluss Teil 1.1: Trennung der Konten in Betrieb / privat zwecks Ermittlung Betriebseinkommen Jahr "&amp;'Kat. I'!$A$2</f>
        <v xml:space="preserve">Abschluss Teil 1.1: Trennung der Konten in Betrieb / privat zwecks Ermittlung Betriebseinkommen Jahr </v>
      </c>
    </row>
    <row r="2" spans="1:24">
      <c r="A2" s="209" t="s">
        <v>236</v>
      </c>
    </row>
    <row r="3" spans="1:24" ht="39.950000000000003" customHeight="1">
      <c r="A3" s="339" t="s">
        <v>248</v>
      </c>
      <c r="I3" s="207"/>
    </row>
    <row r="4" spans="1:24">
      <c r="A4" s="209" t="s">
        <v>195</v>
      </c>
      <c r="E4" s="413">
        <v>124</v>
      </c>
      <c r="F4" s="295" t="str">
        <f>"&lt;="&amp;E4</f>
        <v>&lt;=124</v>
      </c>
      <c r="G4" s="295" t="str">
        <f>"&lt;="&amp;H4</f>
        <v>&lt;=224</v>
      </c>
      <c r="H4" s="413">
        <v>224</v>
      </c>
      <c r="I4" s="209" t="s">
        <v>234</v>
      </c>
    </row>
    <row r="5" spans="1:24">
      <c r="A5" s="209" t="s">
        <v>197</v>
      </c>
      <c r="E5" s="413">
        <v>125</v>
      </c>
      <c r="F5" s="295" t="str">
        <f>"&gt;="&amp;E5</f>
        <v>&gt;=125</v>
      </c>
      <c r="G5" s="295" t="str">
        <f>"&gt;="&amp;H5</f>
        <v>&gt;=225</v>
      </c>
      <c r="H5" s="413">
        <v>225</v>
      </c>
      <c r="I5" s="209" t="s">
        <v>235</v>
      </c>
    </row>
    <row r="6" spans="1:24" ht="39.950000000000003" customHeight="1" thickBot="1">
      <c r="C6" s="424" t="str">
        <f>IF(OR(E4="",E5="",H4="",H5=""),"Achtung: Alle vier Kategorienfelder müssen ausgefüllt sein ! Die Kategorien sind auf dem Blatt Kat I ersichtlich !","")</f>
        <v/>
      </c>
      <c r="D6" s="424"/>
      <c r="E6" s="424"/>
      <c r="F6" s="424"/>
      <c r="G6" s="424"/>
      <c r="H6" s="424"/>
      <c r="I6" s="424"/>
      <c r="J6" s="424"/>
      <c r="K6" s="424"/>
      <c r="L6" s="424"/>
    </row>
    <row r="7" spans="1:24" ht="13.5" customHeight="1">
      <c r="A7" s="340" t="s">
        <v>108</v>
      </c>
      <c r="B7" s="332"/>
      <c r="C7" s="332"/>
      <c r="D7" s="332"/>
      <c r="E7" s="332"/>
      <c r="F7" s="425" t="str">
        <f ca="1">IF(A8=M8,"ok.","falsch")</f>
        <v>ok.</v>
      </c>
      <c r="G7" s="425"/>
      <c r="H7" s="425"/>
      <c r="I7" s="332"/>
      <c r="J7" s="332"/>
      <c r="K7" s="332"/>
      <c r="L7" s="332"/>
      <c r="M7" s="417" t="s">
        <v>237</v>
      </c>
    </row>
    <row r="8" spans="1:24" ht="13.5" customHeight="1" thickBot="1">
      <c r="A8" s="341">
        <f ca="1">SUM($S$16:$S$45)+C11</f>
        <v>3900.75</v>
      </c>
      <c r="B8" s="335" t="s">
        <v>238</v>
      </c>
      <c r="C8" s="334"/>
      <c r="D8" s="334"/>
      <c r="E8" s="334"/>
      <c r="F8" s="426" t="s">
        <v>190</v>
      </c>
      <c r="G8" s="426"/>
      <c r="H8" s="426"/>
      <c r="I8" s="334"/>
      <c r="J8" s="334"/>
      <c r="K8" s="334"/>
      <c r="L8" s="337" t="s">
        <v>239</v>
      </c>
      <c r="M8" s="331">
        <f ca="1">SUM($X$16:$X$45)+(J11-2*J11)</f>
        <v>3900.75</v>
      </c>
    </row>
    <row r="9" spans="1:24" ht="13.5" thickBot="1">
      <c r="E9" s="211"/>
      <c r="H9" s="211"/>
      <c r="I9" s="211"/>
    </row>
    <row r="10" spans="1:24" ht="27.95" customHeight="1">
      <c r="A10" s="431" t="s">
        <v>226</v>
      </c>
      <c r="B10" s="432"/>
      <c r="C10" s="328" t="s">
        <v>228</v>
      </c>
      <c r="D10" s="328" t="s">
        <v>229</v>
      </c>
      <c r="E10" s="342" t="s">
        <v>230</v>
      </c>
      <c r="F10" s="327" t="s">
        <v>231</v>
      </c>
      <c r="H10" s="433" t="s">
        <v>227</v>
      </c>
      <c r="I10" s="434"/>
      <c r="J10" s="328" t="s">
        <v>232</v>
      </c>
      <c r="K10" s="328" t="s">
        <v>229</v>
      </c>
      <c r="L10" s="328" t="s">
        <v>230</v>
      </c>
      <c r="M10" s="327" t="s">
        <v>233</v>
      </c>
    </row>
    <row r="11" spans="1:24" ht="13.5" thickBot="1">
      <c r="A11" s="427" t="str">
        <f>IF(D11+E11+F11=C11,"richtig","FALSCH")</f>
        <v>richtig</v>
      </c>
      <c r="B11" s="428"/>
      <c r="C11" s="338">
        <f>$C$29+$C$49+$C$69+$C$89+$C$109+$C$129+$C$149+$C$169+$C$189+$C$209+$C$229+$C$249+$C$269+$C$289+$C$309+$C$329+$C$349+$C$369+$C$389+$C$409+$C$429+$C$449+$C$469+$C$489+$C$509+$C$529+$C$549+$C$569+$C$589+$C$609</f>
        <v>1900.75</v>
      </c>
      <c r="D11" s="330">
        <f>$D$28+$D$48+$D$68+$D$88+$D$108+$D$128+$D$148+$D$168+$D$188+$D$208+$D$228+$D$248+$D$268+$D$288+$D$308+$D$328+$D$348+$D$368+$D$388+$D$408+$D$428+$D$448+$D$468+$D$488+$D$508+$D$528+$D$548+$D$568+$D$588+$D$608</f>
        <v>0</v>
      </c>
      <c r="E11" s="330">
        <f>$E$28+$E$48+$E$68+$E$88+$E$108+$E$128+$E$148+$E$168+$E$188+$E$208+$E$228+$E$248+$E$268+$E$288+$E$308+$E$328+$E$348+$E$368+$E$388+$E$408+$E$428+$E$448+$E$468+$E$488+$E$508+$E$528+$E$548+$E$568+$E$588+$E$608</f>
        <v>1900.75</v>
      </c>
      <c r="F11" s="336">
        <f>$F$28+$F$48+$F$68+$F$88+$F$108+$F$128+$F$148+$F$168+$F$188+$F$208+$F$228+$F$248+$F$268+$F$288+$F$308+$F$328+$F$348+$F$368+$F$388+$F$408+$F$428+$F$448+$F$468+$F$488+$F$508+$F$528+$F$548+$F$568+$F$588+$F$608</f>
        <v>0</v>
      </c>
      <c r="H11" s="429" t="str">
        <f>IF(K11+L11+M11=J11,"richtig","FALSCH")</f>
        <v>richtig</v>
      </c>
      <c r="I11" s="430"/>
      <c r="J11" s="338">
        <f>$J$29+$J$49+$J$69+$J$89+$J$109+$J$129+$J$149+$J$169+$J$189+$J$209+$J$229+$J$249+$J$269+$J$289+$J$309+$J$329+$J$349+$J$369+$J$389+$J$409+$J$429+$J$449+$J$469+$J$489+$J$509+$J$529+$J$549+$J$569+$J$589+$J$609</f>
        <v>-2410</v>
      </c>
      <c r="K11" s="330">
        <f>$K$28+$K$48+$K$68+$K$88+$K$108+$K$128+$K$148+$K$168+$K$188+$K$208+$K$228+$K$248+$K$268+$K$288+$K$308+$K$328+$K$348+$K$368+$K$388+$K$408+$K$428+$K$448+$K$468+$K$488+$K$508+$K$528+$K$548+$K$568+$K$588+$K$608</f>
        <v>0</v>
      </c>
      <c r="L11" s="330">
        <f>$L$28+$L$48+$L$68+$L$88+$L$108+$L$128+$L$148+$L$168+$L$188+$L$208+$L$228+$L$248+$L$268+$L$288+$L$308+$L$328+$L$348+$L$368+$L$388+$L$408+$L$428+$L$448+$L$468+$L$488+$L$508+$L$528+$L$548+$L$568+$L$588+$L$608</f>
        <v>-2410</v>
      </c>
      <c r="M11" s="336">
        <f>$M$28+$M$48+$M$68+$M$88+$M$108+$M$128+$M$148+$M$168+$M$188+$M$208+$M$228+$M$248+$M$268+$M$288+$M$308+$M$328+$M$348+$M$368+$M$388+$M$408+$M$428+$M$448+$M$468+$M$488+$M$508+$M$528+$M$548+$M$568+$M$588+$M$608</f>
        <v>0</v>
      </c>
    </row>
    <row r="12" spans="1:24" ht="39.950000000000003" customHeight="1" thickBot="1">
      <c r="A12" s="346"/>
      <c r="B12" s="347" t="s">
        <v>242</v>
      </c>
      <c r="C12" s="348">
        <f ca="1">'Kat. I'!D779</f>
        <v>1900.75</v>
      </c>
      <c r="D12" s="348">
        <f ca="1">'Kat. I'!L729</f>
        <v>0</v>
      </c>
      <c r="E12" s="348">
        <f ca="1">'Kat. I'!L734</f>
        <v>1900.75</v>
      </c>
      <c r="F12" s="348"/>
      <c r="G12" s="346"/>
      <c r="H12" s="346"/>
      <c r="I12" s="347" t="s">
        <v>242</v>
      </c>
      <c r="J12" s="350">
        <f ca="1">'Kat. I'!I779</f>
        <v>-2410</v>
      </c>
      <c r="K12" s="350">
        <f ca="1">'Kat. I'!N729</f>
        <v>0</v>
      </c>
      <c r="L12" s="350">
        <f ca="1">'Kat. I'!N734</f>
        <v>-2410</v>
      </c>
      <c r="M12" s="349"/>
    </row>
    <row r="13" spans="1:24" ht="16.5" thickBot="1">
      <c r="A13" s="272" t="s">
        <v>206</v>
      </c>
      <c r="B13" s="366">
        <v>1</v>
      </c>
      <c r="C13" s="421" t="s">
        <v>2</v>
      </c>
      <c r="D13" s="422"/>
      <c r="E13" s="423"/>
      <c r="F13" s="333" t="s">
        <v>223</v>
      </c>
      <c r="H13" s="272" t="str">
        <f>A13</f>
        <v>Konto Nr.</v>
      </c>
      <c r="I13" s="366">
        <f>B13</f>
        <v>1</v>
      </c>
      <c r="J13" s="421" t="s">
        <v>2</v>
      </c>
      <c r="K13" s="422"/>
      <c r="L13" s="423"/>
      <c r="M13" s="333" t="s">
        <v>225</v>
      </c>
      <c r="P13" s="206" t="str">
        <f>"Abschluss Teil 1.2: Kontenbestände zu Anfang und Ende des Jahres "&amp;'Kat. I'!$A$2</f>
        <v xml:space="preserve">Abschluss Teil 1.2: Kontenbestände zu Anfang und Ende des Jahres </v>
      </c>
    </row>
    <row r="14" spans="1:24">
      <c r="A14" s="273" t="str">
        <f>Dez.!$K$12&amp;" "&amp;Dez.!$K$14</f>
        <v xml:space="preserve">Kasse </v>
      </c>
      <c r="B14" s="271"/>
      <c r="C14" s="270" t="s">
        <v>193</v>
      </c>
      <c r="D14" s="270" t="s">
        <v>191</v>
      </c>
      <c r="E14" s="270" t="s">
        <v>192</v>
      </c>
      <c r="F14" s="274" t="s">
        <v>224</v>
      </c>
      <c r="H14" s="273" t="str">
        <f>A14</f>
        <v xml:space="preserve">Kasse </v>
      </c>
      <c r="I14" s="271"/>
      <c r="J14" s="270" t="s">
        <v>194</v>
      </c>
      <c r="K14" s="270" t="s">
        <v>191</v>
      </c>
      <c r="L14" s="270" t="s">
        <v>192</v>
      </c>
      <c r="M14" s="274" t="s">
        <v>224</v>
      </c>
    </row>
    <row r="15" spans="1:24" ht="13.5" thickBot="1">
      <c r="A15" s="291" t="s">
        <v>200</v>
      </c>
      <c r="B15" s="292"/>
      <c r="C15" s="284"/>
      <c r="D15" s="284"/>
      <c r="E15" s="284"/>
      <c r="F15" s="293" t="s">
        <v>7</v>
      </c>
      <c r="H15" s="291" t="s">
        <v>201</v>
      </c>
      <c r="I15" s="292"/>
      <c r="J15" s="284"/>
      <c r="K15" s="284"/>
      <c r="L15" s="284"/>
      <c r="M15" s="293" t="s">
        <v>7</v>
      </c>
      <c r="P15" s="207" t="s">
        <v>36</v>
      </c>
      <c r="S15" s="212"/>
      <c r="T15" s="212"/>
      <c r="U15" s="207" t="s">
        <v>37</v>
      </c>
    </row>
    <row r="16" spans="1:24">
      <c r="A16" s="288" t="s">
        <v>17</v>
      </c>
      <c r="B16" s="289" t="str">
        <f>IF(D16+E16=C16,"richtig","FALSCH")</f>
        <v>richtig</v>
      </c>
      <c r="C16" s="290">
        <f>SUMIF(Jan.!$H$15:$H$16000,$B13,Jan.!$E$15:$E$16000)</f>
        <v>120.75</v>
      </c>
      <c r="D16" s="290">
        <f>SUMIF(Jan.!$D$15:$D$16000,$F$4,Jan.!$K$15:$K$16000)</f>
        <v>0</v>
      </c>
      <c r="E16" s="290">
        <f>SUMIF(Jan.!$D$15:$D$16000,$F$5,Jan.!$K$15:$K$16000)</f>
        <v>120.75</v>
      </c>
      <c r="F16" s="414"/>
      <c r="H16" s="288" t="s">
        <v>17</v>
      </c>
      <c r="I16" s="289" t="str">
        <f>IF(K16+L16=J16,"richtig","FALSCH")</f>
        <v>richtig</v>
      </c>
      <c r="J16" s="290">
        <f>SUMIF(Jan.!$H$15:$H$16000,$B13,Jan.!$G$15:$G$16000)</f>
        <v>-60</v>
      </c>
      <c r="K16" s="290">
        <f>SUMIF(Jan.!$F$15:$F$16000,$G$4,Jan.!$K$15:$K$16000)</f>
        <v>0</v>
      </c>
      <c r="L16" s="290">
        <f>SUMIF(Jan.!$F$15:$F$16000,$G$5,Jan.!$K$15:$K$16000)</f>
        <v>-60</v>
      </c>
      <c r="M16" s="414"/>
      <c r="P16" s="267" t="str">
        <f ca="1">IF($S16="","","Konto 1")</f>
        <v>Konto 1</v>
      </c>
      <c r="Q16" s="298" t="str">
        <f>IF($A$14="","",$A$14)</f>
        <v xml:space="preserve">Kasse </v>
      </c>
      <c r="R16" s="299"/>
      <c r="S16" s="297">
        <f ca="1">IF(Q16="","",INDIRECT("Jan.!$K$5"))</f>
        <v>1000</v>
      </c>
      <c r="T16" s="212"/>
      <c r="U16" s="267" t="str">
        <f>IF(Q16="","","Konto 1")</f>
        <v>Konto 1</v>
      </c>
      <c r="V16" s="298" t="str">
        <f t="shared" ref="V16:V45" si="0">$Q16</f>
        <v xml:space="preserve">Kasse </v>
      </c>
      <c r="W16" s="299"/>
      <c r="X16" s="297">
        <f ca="1">IF($Q16="","",INDIRECT("Dez.!$K$7"))</f>
        <v>1560.75</v>
      </c>
    </row>
    <row r="17" spans="1:24">
      <c r="A17" s="275" t="s">
        <v>18</v>
      </c>
      <c r="B17" s="289" t="str">
        <f t="shared" ref="B17:B27" si="1">IF(D17+E17=C17,"richtig","FALSCH")</f>
        <v>richtig</v>
      </c>
      <c r="C17" s="269">
        <f>SUMIF(Feb.!$H$15:$H$16000,$B13,Feb.!$E$15:$E$16000)</f>
        <v>0</v>
      </c>
      <c r="D17" s="269">
        <f>SUMIF(Feb.!$D$15:$D$16000,$F$4,Feb.!$K$15:$K$16000)</f>
        <v>0</v>
      </c>
      <c r="E17" s="269">
        <f>SUMIF(Feb.!$D$15:$D$16000,$F$5,Feb.!$K$15:$K$16000)</f>
        <v>0</v>
      </c>
      <c r="F17" s="415"/>
      <c r="H17" s="275" t="s">
        <v>18</v>
      </c>
      <c r="I17" s="268" t="str">
        <f t="shared" ref="I17:I27" si="2">IF(K17+L17=J17,"richtig","FALSCH")</f>
        <v>richtig</v>
      </c>
      <c r="J17" s="269">
        <f>SUMIF(Feb.!$H$15:$H$16000,$B13,Feb.!$G$15:$G$16000)</f>
        <v>0</v>
      </c>
      <c r="K17" s="269">
        <f>SUMIF(Feb.!$F$15:$F$16000,$G$4,Feb.!$K$15:$K$16000)</f>
        <v>0</v>
      </c>
      <c r="L17" s="269">
        <f>SUMIF(Feb.!$F$15:$F$16000,$G$5,Feb.!$K$15:$K$16000)</f>
        <v>0</v>
      </c>
      <c r="M17" s="415"/>
      <c r="P17" s="267" t="str">
        <f ca="1">IF($S17="","","Konto 2")</f>
        <v>Konto 2</v>
      </c>
      <c r="Q17" s="298" t="str">
        <f>IF($A$34="","",$A$34)</f>
        <v xml:space="preserve">Lohnkonto </v>
      </c>
      <c r="R17" s="299"/>
      <c r="S17" s="297">
        <f ca="1">IF(Q17="","",INDIRECT("Jan.!$L$5"))</f>
        <v>1000</v>
      </c>
      <c r="T17" s="212"/>
      <c r="U17" s="267" t="str">
        <f>IF(Q17="","","Konto 2")</f>
        <v>Konto 2</v>
      </c>
      <c r="V17" s="298" t="str">
        <f t="shared" si="0"/>
        <v xml:space="preserve">Lohnkonto </v>
      </c>
      <c r="W17" s="299"/>
      <c r="X17" s="297">
        <f ca="1">IF($Q17="","",INDIRECT("Dez.!$L$7"))</f>
        <v>-70</v>
      </c>
    </row>
    <row r="18" spans="1:24">
      <c r="A18" s="275" t="s">
        <v>19</v>
      </c>
      <c r="B18" s="289" t="str">
        <f t="shared" si="1"/>
        <v>richtig</v>
      </c>
      <c r="C18" s="269">
        <f>SUMIF(März!$H$15:$H$16000,$B13,März!$E$15:$E$16000)</f>
        <v>0</v>
      </c>
      <c r="D18" s="269">
        <f>SUMIF(März!$D$15:$D$16000,$F$4,März!$K$15:$K$16000)</f>
        <v>0</v>
      </c>
      <c r="E18" s="269">
        <f>SUMIF(März!$D$15:$D$16000,$F$5,März!$K$15:$K$16000)</f>
        <v>0</v>
      </c>
      <c r="F18" s="415"/>
      <c r="H18" s="275" t="s">
        <v>19</v>
      </c>
      <c r="I18" s="268" t="str">
        <f t="shared" si="2"/>
        <v>richtig</v>
      </c>
      <c r="J18" s="269">
        <f>SUMIF(März!$H$15:$H$16000,$B13,März!$G$15:$G$16000)</f>
        <v>0</v>
      </c>
      <c r="K18" s="269">
        <f>SUMIF(März!$F$15:$F$16000,$G$4,März!$K$15:$K$16000)</f>
        <v>0</v>
      </c>
      <c r="L18" s="269">
        <f>SUMIF(März!$F$15:$F$16000,$G$5,März!$K$15:$K$16000)</f>
        <v>0</v>
      </c>
      <c r="M18" s="415"/>
      <c r="P18" s="267" t="str">
        <f ca="1">IF($S18="","","Konto 3")</f>
        <v>Konto 3</v>
      </c>
      <c r="Q18" s="298" t="str">
        <f>IF($A$54="","",$A$54)</f>
        <v xml:space="preserve"> </v>
      </c>
      <c r="R18" s="299"/>
      <c r="S18" s="297">
        <f ca="1">IF(Q18="","",INDIRECT("Jan.!$M$5"))</f>
        <v>0</v>
      </c>
      <c r="T18" s="212"/>
      <c r="U18" s="267" t="str">
        <f>IF(Q18="","","Konto 3")</f>
        <v>Konto 3</v>
      </c>
      <c r="V18" s="298" t="str">
        <f t="shared" si="0"/>
        <v xml:space="preserve"> </v>
      </c>
      <c r="W18" s="299"/>
      <c r="X18" s="297">
        <f ca="1">IF($Q18="","",INDIRECT("Dez.!$M$7"))</f>
        <v>0</v>
      </c>
    </row>
    <row r="19" spans="1:24">
      <c r="A19" s="275" t="s">
        <v>22</v>
      </c>
      <c r="B19" s="289" t="str">
        <f t="shared" si="1"/>
        <v>richtig</v>
      </c>
      <c r="C19" s="269">
        <f>SUMIF(April!$H$15:$H$16000,$B13,April!$E$15:$E$16000)</f>
        <v>0</v>
      </c>
      <c r="D19" s="269">
        <f>SUMIF(April!$D$15:$D$16000,$F$4,April!$K$15:$K$16000)</f>
        <v>0</v>
      </c>
      <c r="E19" s="269">
        <f>SUMIF(April!$D$15:$D$16000,$F$5,April!$K$15:$K$16000)</f>
        <v>0</v>
      </c>
      <c r="F19" s="415"/>
      <c r="H19" s="275" t="s">
        <v>22</v>
      </c>
      <c r="I19" s="268" t="str">
        <f t="shared" si="2"/>
        <v>richtig</v>
      </c>
      <c r="J19" s="269">
        <f>SUMIF(April!$H$15:$H$16000,$B13,April!$G$15:$G$16000)</f>
        <v>0</v>
      </c>
      <c r="K19" s="269">
        <f>SUMIF(April!$F$15:$F$16000,$G$4,April!$K$15:$K$16000)</f>
        <v>0</v>
      </c>
      <c r="L19" s="269">
        <f>SUMIF(April!$F$15:$F$16000,$G$5,April!$K$15:$K$16000)</f>
        <v>0</v>
      </c>
      <c r="M19" s="415"/>
      <c r="P19" s="267" t="str">
        <f ca="1">IF($S19="","","Konto 4")</f>
        <v>Konto 4</v>
      </c>
      <c r="Q19" s="298" t="str">
        <f>IF($A$74="","",$A$74)</f>
        <v xml:space="preserve"> </v>
      </c>
      <c r="R19" s="299"/>
      <c r="S19" s="297">
        <f ca="1">IF(Q19="","",INDIRECT("Jan.!$N$5"))</f>
        <v>0</v>
      </c>
      <c r="T19" s="212"/>
      <c r="U19" s="267" t="str">
        <f>IF(Q19="","","Konto 4")</f>
        <v>Konto 4</v>
      </c>
      <c r="V19" s="298" t="str">
        <f t="shared" si="0"/>
        <v xml:space="preserve"> </v>
      </c>
      <c r="W19" s="299"/>
      <c r="X19" s="297">
        <f ca="1">IF($Q19="","",INDIRECT("Dez.!$N$7"))</f>
        <v>0</v>
      </c>
    </row>
    <row r="20" spans="1:24">
      <c r="A20" s="275" t="s">
        <v>23</v>
      </c>
      <c r="B20" s="289" t="str">
        <f t="shared" si="1"/>
        <v>richtig</v>
      </c>
      <c r="C20" s="269">
        <f>SUMIF(Mai!$H$15:$H$16000,$B13,Mai!$E$15:$E$16000)</f>
        <v>0</v>
      </c>
      <c r="D20" s="269">
        <f>SUMIF(Mai!$D$15:$D$16000,$F$4,Mai!$K$15:$K$16000)</f>
        <v>0</v>
      </c>
      <c r="E20" s="269">
        <f>SUMIF(Mai!$D$15:$D$16000,$F$5,Mai!$K$15:$K$16000)</f>
        <v>0</v>
      </c>
      <c r="F20" s="415"/>
      <c r="H20" s="275" t="s">
        <v>23</v>
      </c>
      <c r="I20" s="268" t="str">
        <f t="shared" si="2"/>
        <v>richtig</v>
      </c>
      <c r="J20" s="269">
        <f>SUMIF(Mai!$H$15:$H$16000,$B13,Mai!$G$15:$G$16000)</f>
        <v>0</v>
      </c>
      <c r="K20" s="269">
        <f>SUMIF(Mai!$F$15:$F$16000,$G$4,Mai!$K$15:$K$16000)</f>
        <v>0</v>
      </c>
      <c r="L20" s="269">
        <f>SUMIF(Mai!$F$15:$F$16000,$G$5,Mai!$K$15:$K$16000)</f>
        <v>0</v>
      </c>
      <c r="M20" s="415"/>
      <c r="P20" s="267" t="str">
        <f ca="1">IF($S20="","","Konto 5")</f>
        <v/>
      </c>
      <c r="Q20" s="298" t="str">
        <f>IF($A$94="","",$A$94)</f>
        <v/>
      </c>
      <c r="R20" s="299"/>
      <c r="S20" s="297" t="str">
        <f ca="1">IF(Q20="","",INDIRECT("Jan.!$O$5"))</f>
        <v/>
      </c>
      <c r="T20" s="212"/>
      <c r="U20" s="267" t="str">
        <f>IF(Q20="","","Konto 5")</f>
        <v/>
      </c>
      <c r="V20" s="298" t="str">
        <f t="shared" si="0"/>
        <v/>
      </c>
      <c r="W20" s="299"/>
      <c r="X20" s="297" t="str">
        <f ca="1">IF($Q20="","",INDIRECT("Dez.!$O$7"))</f>
        <v/>
      </c>
    </row>
    <row r="21" spans="1:24">
      <c r="A21" s="275" t="s">
        <v>27</v>
      </c>
      <c r="B21" s="289" t="str">
        <f t="shared" si="1"/>
        <v>richtig</v>
      </c>
      <c r="C21" s="269">
        <f>SUMIF(Juni!$H$15:$H$16000,$B13,Juni!$E$15:$E$16000)</f>
        <v>0</v>
      </c>
      <c r="D21" s="269">
        <f>SUMIF(Juni!$D$15:$D$16000,$F$4,Juni!$K$15:$K$16000)</f>
        <v>0</v>
      </c>
      <c r="E21" s="269">
        <f>SUMIF(Juni!$D$15:$D$16000,$F$5,Juni!$K$15:$K$16000)</f>
        <v>0</v>
      </c>
      <c r="F21" s="415"/>
      <c r="H21" s="275" t="s">
        <v>27</v>
      </c>
      <c r="I21" s="268" t="str">
        <f t="shared" si="2"/>
        <v>richtig</v>
      </c>
      <c r="J21" s="269">
        <f>SUMIF(Juni!$H$15:$H$16000,$B13,Juni!$G$15:$G$16000)</f>
        <v>0</v>
      </c>
      <c r="K21" s="269">
        <f>SUMIF(Juni!$F$15:$F$16000,$G$4,Juni!$K$15:$K$16000)</f>
        <v>0</v>
      </c>
      <c r="L21" s="269">
        <f>SUMIF(Juni!$F$15:$F$16000,$G$5,Juni!$K$15:$K$16000)</f>
        <v>0</v>
      </c>
      <c r="M21" s="415"/>
      <c r="P21" s="267" t="str">
        <f ca="1">IF($S21="","","Konto 6")</f>
        <v/>
      </c>
      <c r="Q21" s="298" t="str">
        <f>IF($A$114="","",$A$114)</f>
        <v/>
      </c>
      <c r="R21" s="299"/>
      <c r="S21" s="297" t="str">
        <f ca="1">IF(Q21="","",INDIRECT("Jan.!$P$5"))</f>
        <v/>
      </c>
      <c r="T21" s="212"/>
      <c r="U21" s="267" t="str">
        <f>IF(Q21="","","Konto 6")</f>
        <v/>
      </c>
      <c r="V21" s="298" t="str">
        <f t="shared" si="0"/>
        <v/>
      </c>
      <c r="W21" s="299"/>
      <c r="X21" s="297" t="str">
        <f ca="1">IF($Q21="","",INDIRECT("Dez.!$P$7"))</f>
        <v/>
      </c>
    </row>
    <row r="22" spans="1:24">
      <c r="A22" s="275" t="s">
        <v>28</v>
      </c>
      <c r="B22" s="289" t="str">
        <f t="shared" si="1"/>
        <v>richtig</v>
      </c>
      <c r="C22" s="269">
        <f>SUMIF(Juli!$H$15:$H$16000,$B13,Juli!$E$15:$E$16000)</f>
        <v>0</v>
      </c>
      <c r="D22" s="269">
        <f>SUMIF(Juli!$D$15:$D$16000,$F$4,Juli!$K$15:$K$16000)</f>
        <v>0</v>
      </c>
      <c r="E22" s="269">
        <f>SUMIF(Juli!$D$15:$D$16000,$F$5,Juli!$K$15:$K$16000)</f>
        <v>0</v>
      </c>
      <c r="F22" s="415"/>
      <c r="H22" s="275" t="s">
        <v>28</v>
      </c>
      <c r="I22" s="268" t="str">
        <f t="shared" si="2"/>
        <v>richtig</v>
      </c>
      <c r="J22" s="269">
        <f>SUMIF(Juli!$H$15:$H$16000,$B13,Juli!$G$15:$G$16000)</f>
        <v>0</v>
      </c>
      <c r="K22" s="269">
        <f>SUMIF(Juli!$F$15:$F$16000,$G$4,Juli!$K$15:$K$16000)</f>
        <v>0</v>
      </c>
      <c r="L22" s="269">
        <f>SUMIF(Juli!$F$15:$F$16000,$G$5,Juli!$K$15:$K$16000)</f>
        <v>0</v>
      </c>
      <c r="M22" s="415"/>
      <c r="P22" s="267" t="str">
        <f ca="1">IF($S22="","","Konto 7")</f>
        <v/>
      </c>
      <c r="Q22" s="298" t="str">
        <f>IF($A$134="","",$A$134)</f>
        <v/>
      </c>
      <c r="R22" s="299"/>
      <c r="S22" s="297" t="str">
        <f ca="1">IF(Q22="","",INDIRECT("Jan.!$Q$5"))</f>
        <v/>
      </c>
      <c r="T22" s="212"/>
      <c r="U22" s="267" t="str">
        <f>IF(Q22="","","Konto 7")</f>
        <v/>
      </c>
      <c r="V22" s="298" t="str">
        <f t="shared" si="0"/>
        <v/>
      </c>
      <c r="W22" s="299"/>
      <c r="X22" s="297" t="str">
        <f ca="1">IF($Q22="","",INDIRECT("Dez.!$Q$7"))</f>
        <v/>
      </c>
    </row>
    <row r="23" spans="1:24">
      <c r="A23" s="275" t="s">
        <v>29</v>
      </c>
      <c r="B23" s="289" t="str">
        <f t="shared" si="1"/>
        <v>richtig</v>
      </c>
      <c r="C23" s="269">
        <f>SUMIF(Aug.!$H$15:$H$16000,$B13,Aug.!$E$15:$E$16000)</f>
        <v>0</v>
      </c>
      <c r="D23" s="269">
        <f>SUMIF(Aug.!$D$15:$D$16000,$F$4,Aug.!$K$15:$K$16000)</f>
        <v>0</v>
      </c>
      <c r="E23" s="269">
        <f>SUMIF(Aug.!$D$15:$D$16000,$F$5,Aug.!$K$15:$K$16000)</f>
        <v>0</v>
      </c>
      <c r="F23" s="415"/>
      <c r="H23" s="275" t="s">
        <v>29</v>
      </c>
      <c r="I23" s="268" t="str">
        <f t="shared" si="2"/>
        <v>richtig</v>
      </c>
      <c r="J23" s="269">
        <f>SUMIF(Aug.!$H$15:$H$16000,$B13,Aug.!$G$15:$G$16000)</f>
        <v>0</v>
      </c>
      <c r="K23" s="269">
        <f>SUMIF(Aug.!$F$15:$F$16000,$G$4,Aug.!$K$15:$K$16000)</f>
        <v>0</v>
      </c>
      <c r="L23" s="269">
        <f>SUMIF(Aug.!$F$15:$F$16000,$G$5,Aug.!$K$15:$K$16000)</f>
        <v>0</v>
      </c>
      <c r="M23" s="415"/>
      <c r="P23" s="267" t="str">
        <f ca="1">IF($S23="","","Konto 8")</f>
        <v/>
      </c>
      <c r="Q23" s="298" t="str">
        <f>IF($A$154="","",$A$154)</f>
        <v/>
      </c>
      <c r="R23" s="299"/>
      <c r="S23" s="297" t="str">
        <f ca="1">IF(Q23="","",INDIRECT("Jan.!$R$5"))</f>
        <v/>
      </c>
      <c r="T23" s="212"/>
      <c r="U23" s="267" t="str">
        <f>IF(Q23="","","Konto 8")</f>
        <v/>
      </c>
      <c r="V23" s="298" t="str">
        <f t="shared" si="0"/>
        <v/>
      </c>
      <c r="W23" s="299"/>
      <c r="X23" s="297" t="str">
        <f ca="1">IF($Q23="","",INDIRECT("Dez.!$R$7"))</f>
        <v/>
      </c>
    </row>
    <row r="24" spans="1:24">
      <c r="A24" s="275" t="s">
        <v>30</v>
      </c>
      <c r="B24" s="289" t="str">
        <f t="shared" si="1"/>
        <v>richtig</v>
      </c>
      <c r="C24" s="269">
        <f>SUMIF(Sept.!$H$15:$H$16000,$B13,Sept.!$E$15:$E$16000)</f>
        <v>0</v>
      </c>
      <c r="D24" s="269">
        <f>SUMIF(Sept.!$D$15:$D$16000,$F$4,Sept.!$K$15:$K$16000)</f>
        <v>0</v>
      </c>
      <c r="E24" s="269">
        <f>SUMIF(Sept.!$D$15:$D$16000,$F$5,Sept.!$K$15:$K$16000)</f>
        <v>0</v>
      </c>
      <c r="F24" s="415"/>
      <c r="H24" s="275" t="s">
        <v>30</v>
      </c>
      <c r="I24" s="268" t="str">
        <f t="shared" si="2"/>
        <v>richtig</v>
      </c>
      <c r="J24" s="269">
        <f>SUMIF(Sept.!$H$15:$H$16000,$B13,Sept.!$G$15:$G$16000)</f>
        <v>0</v>
      </c>
      <c r="K24" s="269">
        <f>SUMIF(Sept.!$F$15:$F$16000,$G$4,Sept.!$K$15:$K$16000)</f>
        <v>0</v>
      </c>
      <c r="L24" s="269">
        <f>SUMIF(Sept.!$F$15:$F$16000,$G$5,Sept.!$K$15:$K$16000)</f>
        <v>0</v>
      </c>
      <c r="M24" s="415"/>
      <c r="P24" s="267" t="str">
        <f ca="1">IF($S24="","","Konto 9")</f>
        <v/>
      </c>
      <c r="Q24" s="298" t="str">
        <f>IF($A$174="","",$A$174)</f>
        <v/>
      </c>
      <c r="R24" s="299"/>
      <c r="S24" s="297" t="str">
        <f ca="1">IF(Q24="","",INDIRECT("Jan.!$S$5"))</f>
        <v/>
      </c>
      <c r="T24" s="212"/>
      <c r="U24" s="267" t="str">
        <f>IF(Q24="","","Konto 9")</f>
        <v/>
      </c>
      <c r="V24" s="298" t="str">
        <f t="shared" si="0"/>
        <v/>
      </c>
      <c r="W24" s="299"/>
      <c r="X24" s="297" t="str">
        <f ca="1">IF($Q24="","",INDIRECT("Dez.!$S$7"))</f>
        <v/>
      </c>
    </row>
    <row r="25" spans="1:24">
      <c r="A25" s="275" t="s">
        <v>31</v>
      </c>
      <c r="B25" s="289" t="str">
        <f t="shared" si="1"/>
        <v>richtig</v>
      </c>
      <c r="C25" s="269">
        <f>SUMIF(Okt.!$H$15:$H$16000,$B13,Okt.!$E$15:$E$16000)</f>
        <v>0</v>
      </c>
      <c r="D25" s="269">
        <f>SUMIF(Okt.!$D$15:$D$16000,$F$4,Okt.!$K$15:$K$16000)</f>
        <v>0</v>
      </c>
      <c r="E25" s="269">
        <f>SUMIF(Okt.!$D$15:$D$16000,$F$5,Okt.!$K$15:$K$16000)</f>
        <v>0</v>
      </c>
      <c r="F25" s="415"/>
      <c r="H25" s="275" t="s">
        <v>31</v>
      </c>
      <c r="I25" s="268" t="str">
        <f t="shared" si="2"/>
        <v>richtig</v>
      </c>
      <c r="J25" s="269">
        <f>SUMIF(Okt.!$H$15:$H$16000,$B13,Okt.!$G$15:$G$16000)</f>
        <v>0</v>
      </c>
      <c r="K25" s="269">
        <f>SUMIF(Okt.!$F$15:$F$16000,$G$4,Okt.!$K$15:$K$16000)</f>
        <v>0</v>
      </c>
      <c r="L25" s="269">
        <f>SUMIF(Okt.!$F$15:$F$16000,$G$5,Okt.!$K$15:$K$16000)</f>
        <v>0</v>
      </c>
      <c r="M25" s="415"/>
      <c r="P25" s="267" t="str">
        <f ca="1">IF($S25="","","Konto 10")</f>
        <v/>
      </c>
      <c r="Q25" s="298" t="str">
        <f>IF($A$194="","",$A$194)</f>
        <v/>
      </c>
      <c r="R25" s="299"/>
      <c r="S25" s="297" t="str">
        <f ca="1">IF(Q25="","",INDIRECT("Jan.!$T$5"))</f>
        <v/>
      </c>
      <c r="T25" s="212"/>
      <c r="U25" s="267" t="str">
        <f>IF(Q25="","","Konto 10")</f>
        <v/>
      </c>
      <c r="V25" s="298" t="str">
        <f t="shared" si="0"/>
        <v/>
      </c>
      <c r="W25" s="299"/>
      <c r="X25" s="297" t="str">
        <f ca="1">IF($Q25="","",INDIRECT("Dez.!$T$7"))</f>
        <v/>
      </c>
    </row>
    <row r="26" spans="1:24">
      <c r="A26" s="275" t="s">
        <v>32</v>
      </c>
      <c r="B26" s="289" t="str">
        <f t="shared" si="1"/>
        <v>richtig</v>
      </c>
      <c r="C26" s="269">
        <f>SUMIF(Nov.!$H$15:$H$16000,$B13,Nov.!$E$15:$E$16000)</f>
        <v>0</v>
      </c>
      <c r="D26" s="269">
        <f>SUMIF(Nov.!$D$15:$D$16000,$F$4,Nov.!$K$15:$K$16000)</f>
        <v>0</v>
      </c>
      <c r="E26" s="269">
        <f>SUMIF(Nov.!$D$15:$D$16000,$F$5,Nov.!$K$15:$K$16000)</f>
        <v>0</v>
      </c>
      <c r="F26" s="415"/>
      <c r="H26" s="275" t="s">
        <v>32</v>
      </c>
      <c r="I26" s="268" t="str">
        <f t="shared" si="2"/>
        <v>richtig</v>
      </c>
      <c r="J26" s="269">
        <f>SUMIF(Nov.!$H$15:$H$16000,$B13,Nov.!$G$15:$G$16000)</f>
        <v>0</v>
      </c>
      <c r="K26" s="269">
        <f>SUMIF(Nov.!$F$15:$F$16000,$G$4,Nov.!$K$15:$K$16000)</f>
        <v>0</v>
      </c>
      <c r="L26" s="269">
        <f>SUMIF(Nov.!$F$15:$F$16000,$G$5,Nov.!$K$15:$K$16000)</f>
        <v>0</v>
      </c>
      <c r="M26" s="415"/>
      <c r="P26" s="267" t="str">
        <f ca="1">IF($S26="","","Konto 11")</f>
        <v/>
      </c>
      <c r="Q26" s="298" t="str">
        <f>IF($A$214="","",$A$214)</f>
        <v/>
      </c>
      <c r="R26" s="299"/>
      <c r="S26" s="297" t="str">
        <f ca="1">IF(Q26="","",INDIRECT("Jan.!$U$5"))</f>
        <v/>
      </c>
      <c r="T26" s="212"/>
      <c r="U26" s="267" t="str">
        <f>IF(Q26="","","Konto 11")</f>
        <v/>
      </c>
      <c r="V26" s="298" t="str">
        <f t="shared" si="0"/>
        <v/>
      </c>
      <c r="W26" s="299"/>
      <c r="X26" s="297" t="str">
        <f ca="1">IF($Q26="","",INDIRECT("Dez.!$U$7"))</f>
        <v/>
      </c>
    </row>
    <row r="27" spans="1:24" ht="13.5" thickBot="1">
      <c r="A27" s="276" t="s">
        <v>33</v>
      </c>
      <c r="B27" s="289" t="str">
        <f t="shared" si="1"/>
        <v>richtig</v>
      </c>
      <c r="C27" s="278">
        <f>SUMIF(Dez.!$H$15:$H$16000,$B13,Dez.!$E$15:$E$16000)</f>
        <v>0</v>
      </c>
      <c r="D27" s="278">
        <f>SUMIF(Dez.!$D$15:$D$16000,$F$4,Dez.!$K$15:$K$16000)</f>
        <v>0</v>
      </c>
      <c r="E27" s="278">
        <f>SUMIF(Dez.!$D$15:$D$16000,$F$5,Dez.!$K$15:$K$16000)</f>
        <v>0</v>
      </c>
      <c r="F27" s="416"/>
      <c r="H27" s="276" t="s">
        <v>33</v>
      </c>
      <c r="I27" s="277" t="str">
        <f t="shared" si="2"/>
        <v>richtig</v>
      </c>
      <c r="J27" s="278">
        <f>SUMIF(Dez.!$H$15:$H$16000,$B13,Dez.!$G$15:$G$16000)</f>
        <v>0</v>
      </c>
      <c r="K27" s="278">
        <f>SUMIF(Dez.!$F$15:$F$16000,$G$4,Dez.!$K$15:$K$16000)</f>
        <v>0</v>
      </c>
      <c r="L27" s="278">
        <f>SUMIF(Dez.!$F$15:$F$16000,$G$5,Dez.!$K$15:$K$16000)</f>
        <v>0</v>
      </c>
      <c r="M27" s="416"/>
      <c r="P27" s="267" t="str">
        <f ca="1">IF($S27="","","Konto 12")</f>
        <v/>
      </c>
      <c r="Q27" s="298" t="str">
        <f>IF($A$234="","",$A$234)</f>
        <v/>
      </c>
      <c r="R27" s="299"/>
      <c r="S27" s="297" t="str">
        <f ca="1">IF(Q27="","",INDIRECT("Jan.!$V$5"))</f>
        <v/>
      </c>
      <c r="T27" s="212"/>
      <c r="U27" s="267" t="str">
        <f>IF(Q27="","","Konto 12")</f>
        <v/>
      </c>
      <c r="V27" s="298" t="str">
        <f t="shared" si="0"/>
        <v/>
      </c>
      <c r="W27" s="299"/>
      <c r="X27" s="297" t="str">
        <f ca="1">IF($Q27="","",INDIRECT("Dez.!$V$7"))</f>
        <v/>
      </c>
    </row>
    <row r="28" spans="1:24">
      <c r="A28" s="279" t="s">
        <v>34</v>
      </c>
      <c r="B28" s="280" t="str">
        <f>IF(D28+E28=C28,"richtig","FALSCH")</f>
        <v>richtig</v>
      </c>
      <c r="C28" s="281">
        <f>SUM(C16:C27)</f>
        <v>120.75</v>
      </c>
      <c r="D28" s="281">
        <f>SUM(D16:D27)</f>
        <v>0</v>
      </c>
      <c r="E28" s="281">
        <f>SUM(E16:E27)</f>
        <v>120.75</v>
      </c>
      <c r="F28" s="282">
        <f>SUM(F16:F27)</f>
        <v>0</v>
      </c>
      <c r="H28" s="279"/>
      <c r="I28" s="280" t="str">
        <f>IF(K28+L28=J28,"richtig","FALSCH")</f>
        <v>richtig</v>
      </c>
      <c r="J28" s="281">
        <f>SUM(J16:J27)</f>
        <v>-60</v>
      </c>
      <c r="K28" s="281">
        <f>SUM(K16:K27)</f>
        <v>0</v>
      </c>
      <c r="L28" s="281">
        <f>SUM(L16:L27)</f>
        <v>-60</v>
      </c>
      <c r="M28" s="282">
        <f>SUM(M16:M27)</f>
        <v>0</v>
      </c>
      <c r="P28" s="267" t="str">
        <f ca="1">IF($S28="","","Konto 13")</f>
        <v/>
      </c>
      <c r="Q28" s="298" t="str">
        <f>IF($A$254="","",$A$254)</f>
        <v/>
      </c>
      <c r="R28" s="299"/>
      <c r="S28" s="297" t="str">
        <f ca="1">IF(Q28="","",INDIRECT("Jan.!$W$5"))</f>
        <v/>
      </c>
      <c r="T28" s="212"/>
      <c r="U28" s="267" t="str">
        <f>IF(Q28="","","Konto 13")</f>
        <v/>
      </c>
      <c r="V28" s="298" t="str">
        <f t="shared" si="0"/>
        <v/>
      </c>
      <c r="W28" s="299"/>
      <c r="X28" s="297" t="str">
        <f ca="1">IF($Q28="","",INDIRECT("Dez.!$W$7"))</f>
        <v/>
      </c>
    </row>
    <row r="29" spans="1:24" ht="13.5" thickBot="1">
      <c r="A29" s="283"/>
      <c r="B29" s="296" t="s">
        <v>110</v>
      </c>
      <c r="C29" s="285">
        <f>C28+F28</f>
        <v>120.75</v>
      </c>
      <c r="D29" s="286" t="s">
        <v>8</v>
      </c>
      <c r="E29" s="286"/>
      <c r="F29" s="287"/>
      <c r="H29" s="283"/>
      <c r="I29" s="296" t="s">
        <v>110</v>
      </c>
      <c r="J29" s="285">
        <f>J28+M28</f>
        <v>-60</v>
      </c>
      <c r="K29" s="286" t="s">
        <v>9</v>
      </c>
      <c r="L29" s="286"/>
      <c r="M29" s="287"/>
      <c r="P29" s="267" t="str">
        <f ca="1">IF($S29="","","Konto 14")</f>
        <v/>
      </c>
      <c r="Q29" s="298" t="str">
        <f>IF($A$274="","",$A$274)</f>
        <v/>
      </c>
      <c r="R29" s="299"/>
      <c r="S29" s="297" t="str">
        <f ca="1">IF(Q29="","",INDIRECT("Jan.!$X$5"))</f>
        <v/>
      </c>
      <c r="T29" s="212"/>
      <c r="U29" s="267" t="str">
        <f>IF(Q29="","","Konto 14")</f>
        <v/>
      </c>
      <c r="V29" s="298" t="str">
        <f t="shared" si="0"/>
        <v/>
      </c>
      <c r="W29" s="299"/>
      <c r="X29" s="297" t="str">
        <f ca="1">IF($Q29="","",INDIRECT("Dez.!$X$7"))</f>
        <v/>
      </c>
    </row>
    <row r="30" spans="1:24">
      <c r="A30" s="211"/>
      <c r="B30" s="211"/>
      <c r="C30" s="210"/>
      <c r="D30" s="211"/>
      <c r="E30" s="211"/>
      <c r="F30" s="211"/>
      <c r="G30" s="211"/>
      <c r="H30" s="211"/>
      <c r="I30" s="211"/>
      <c r="J30" s="210"/>
      <c r="K30" s="211"/>
      <c r="L30" s="211"/>
      <c r="M30" s="211"/>
      <c r="P30" s="267" t="str">
        <f ca="1">IF($S30="","","Konto 15")</f>
        <v/>
      </c>
      <c r="Q30" s="298" t="str">
        <f>IF($A$294="","",$A$294)</f>
        <v/>
      </c>
      <c r="R30" s="299"/>
      <c r="S30" s="297" t="str">
        <f ca="1">IF(Q30="","",INDIRECT("Jan.!$Y$5"))</f>
        <v/>
      </c>
      <c r="T30" s="212"/>
      <c r="U30" s="267" t="str">
        <f>IF(Q30="","","Konto 15")</f>
        <v/>
      </c>
      <c r="V30" s="298" t="str">
        <f t="shared" si="0"/>
        <v/>
      </c>
      <c r="W30" s="299"/>
      <c r="X30" s="297" t="str">
        <f ca="1">IF($Q30="","",INDIRECT("Dez.!$Y$7"))</f>
        <v/>
      </c>
    </row>
    <row r="31" spans="1:24">
      <c r="A31" s="211"/>
      <c r="B31" s="211"/>
      <c r="C31" s="210"/>
      <c r="D31" s="211"/>
      <c r="E31" s="211"/>
      <c r="F31" s="211"/>
      <c r="G31" s="211"/>
      <c r="H31" s="211"/>
      <c r="I31" s="211"/>
      <c r="J31" s="210"/>
      <c r="K31" s="211"/>
      <c r="L31" s="211"/>
      <c r="M31" s="211"/>
      <c r="P31" s="267" t="str">
        <f ca="1">IF($S31="","","Konto 16")</f>
        <v/>
      </c>
      <c r="Q31" s="298" t="str">
        <f>IF($A$314="","",$A$314)</f>
        <v/>
      </c>
      <c r="R31" s="299"/>
      <c r="S31" s="297" t="str">
        <f ca="1">IF(Q31="","",INDIRECT("Jan.!$Z$5"))</f>
        <v/>
      </c>
      <c r="T31" s="212"/>
      <c r="U31" s="267" t="str">
        <f>IF(Q31="","","Konto 16")</f>
        <v/>
      </c>
      <c r="V31" s="298" t="str">
        <f t="shared" si="0"/>
        <v/>
      </c>
      <c r="W31" s="299"/>
      <c r="X31" s="297" t="str">
        <f ca="1">IF($Q31="","",INDIRECT("Dez.!$Z$7"))</f>
        <v/>
      </c>
    </row>
    <row r="32" spans="1:24" ht="13.5" thickBot="1">
      <c r="A32" s="211"/>
      <c r="B32" s="211"/>
      <c r="C32" s="210"/>
      <c r="D32" s="211"/>
      <c r="E32" s="211"/>
      <c r="F32" s="211"/>
      <c r="G32" s="211"/>
      <c r="H32" s="211"/>
      <c r="I32" s="211"/>
      <c r="J32" s="210"/>
      <c r="K32" s="211"/>
      <c r="L32" s="211"/>
      <c r="M32" s="211"/>
      <c r="P32" s="267" t="str">
        <f ca="1">IF($S32="","","Konto 17")</f>
        <v/>
      </c>
      <c r="Q32" s="298" t="str">
        <f>IF($A$334="","",$A$334)</f>
        <v/>
      </c>
      <c r="R32" s="299"/>
      <c r="S32" s="297" t="str">
        <f ca="1">IF(Q32="","",INDIRECT("Jan.!$AA$5"))</f>
        <v/>
      </c>
      <c r="T32" s="212"/>
      <c r="U32" s="267" t="str">
        <f>IF(Q32="","","Konto 17")</f>
        <v/>
      </c>
      <c r="V32" s="298" t="str">
        <f t="shared" si="0"/>
        <v/>
      </c>
      <c r="W32" s="299"/>
      <c r="X32" s="297" t="str">
        <f ca="1">IF($Q32="","",INDIRECT("Dez.!$AA$7"))</f>
        <v/>
      </c>
    </row>
    <row r="33" spans="1:24" ht="13.5" thickBot="1">
      <c r="A33" s="272" t="s">
        <v>206</v>
      </c>
      <c r="B33" s="366">
        <v>2</v>
      </c>
      <c r="C33" s="421" t="s">
        <v>2</v>
      </c>
      <c r="D33" s="422"/>
      <c r="E33" s="423"/>
      <c r="F33" s="333" t="s">
        <v>223</v>
      </c>
      <c r="H33" s="272" t="str">
        <f>A33</f>
        <v>Konto Nr.</v>
      </c>
      <c r="I33" s="366">
        <f>B33</f>
        <v>2</v>
      </c>
      <c r="J33" s="421" t="s">
        <v>2</v>
      </c>
      <c r="K33" s="422"/>
      <c r="L33" s="423"/>
      <c r="M33" s="333" t="s">
        <v>225</v>
      </c>
      <c r="N33" s="253"/>
      <c r="P33" s="267" t="str">
        <f ca="1">IF($S33="","","Konto 18")</f>
        <v/>
      </c>
      <c r="Q33" s="298" t="str">
        <f>IF($A$354="","",$A$354)</f>
        <v/>
      </c>
      <c r="R33" s="299"/>
      <c r="S33" s="297" t="str">
        <f ca="1">IF(Q33="","",INDIRECT("Jan.!$AB$5"))</f>
        <v/>
      </c>
      <c r="T33" s="212"/>
      <c r="U33" s="267" t="str">
        <f>IF(Q33="","","Konto 18")</f>
        <v/>
      </c>
      <c r="V33" s="298" t="str">
        <f t="shared" si="0"/>
        <v/>
      </c>
      <c r="W33" s="299"/>
      <c r="X33" s="297" t="str">
        <f ca="1">IF($Q33="","",INDIRECT("Dez.!$AB$7"))</f>
        <v/>
      </c>
    </row>
    <row r="34" spans="1:24">
      <c r="A34" s="273" t="str">
        <f>Dez.!$L$12&amp;" "&amp;Dez.!$L$14</f>
        <v xml:space="preserve">Lohnkonto </v>
      </c>
      <c r="B34" s="271"/>
      <c r="C34" s="270" t="s">
        <v>193</v>
      </c>
      <c r="D34" s="270" t="s">
        <v>191</v>
      </c>
      <c r="E34" s="270" t="s">
        <v>192</v>
      </c>
      <c r="F34" s="274" t="s">
        <v>224</v>
      </c>
      <c r="H34" s="273" t="str">
        <f>A34</f>
        <v xml:space="preserve">Lohnkonto </v>
      </c>
      <c r="I34" s="271"/>
      <c r="J34" s="270" t="s">
        <v>194</v>
      </c>
      <c r="K34" s="270" t="s">
        <v>191</v>
      </c>
      <c r="L34" s="270" t="s">
        <v>192</v>
      </c>
      <c r="M34" s="274" t="s">
        <v>224</v>
      </c>
      <c r="N34" s="253"/>
      <c r="P34" s="267" t="str">
        <f ca="1">IF($S34="","","Konto 19")</f>
        <v/>
      </c>
      <c r="Q34" s="298" t="str">
        <f>IF($A$374="","",$A$374)</f>
        <v/>
      </c>
      <c r="R34" s="299"/>
      <c r="S34" s="297" t="str">
        <f ca="1">IF(Q34="","",INDIRECT("Jan.!$AC$5"))</f>
        <v/>
      </c>
      <c r="T34" s="212"/>
      <c r="U34" s="267" t="str">
        <f>IF(Q34="","","Konto 19")</f>
        <v/>
      </c>
      <c r="V34" s="298" t="str">
        <f t="shared" si="0"/>
        <v/>
      </c>
      <c r="W34" s="299"/>
      <c r="X34" s="297" t="str">
        <f ca="1">IF($Q34="","",INDIRECT("Dez.!$AC$7"))</f>
        <v/>
      </c>
    </row>
    <row r="35" spans="1:24" ht="13.5" thickBot="1">
      <c r="A35" s="291" t="s">
        <v>200</v>
      </c>
      <c r="B35" s="292"/>
      <c r="C35" s="284"/>
      <c r="D35" s="284"/>
      <c r="E35" s="284"/>
      <c r="F35" s="293" t="s">
        <v>7</v>
      </c>
      <c r="H35" s="291" t="s">
        <v>201</v>
      </c>
      <c r="I35" s="292"/>
      <c r="J35" s="284"/>
      <c r="K35" s="284"/>
      <c r="L35" s="284"/>
      <c r="M35" s="293" t="s">
        <v>7</v>
      </c>
      <c r="N35" s="253"/>
      <c r="P35" s="267" t="str">
        <f ca="1">IF($S35="","","Konto 20")</f>
        <v/>
      </c>
      <c r="Q35" s="298" t="str">
        <f>IF($A$394="","",$A$394)</f>
        <v/>
      </c>
      <c r="R35" s="299"/>
      <c r="S35" s="297" t="str">
        <f ca="1">IF(Q35="","",INDIRECT("Jan.!$AD$5"))</f>
        <v/>
      </c>
      <c r="T35" s="212"/>
      <c r="U35" s="267" t="str">
        <f>IF(Q35="","","Konto 20")</f>
        <v/>
      </c>
      <c r="V35" s="298" t="str">
        <f t="shared" si="0"/>
        <v/>
      </c>
      <c r="W35" s="299"/>
      <c r="X35" s="297" t="str">
        <f ca="1">IF($Q35="","",INDIRECT("Dez.!$AD$7"))</f>
        <v/>
      </c>
    </row>
    <row r="36" spans="1:24">
      <c r="A36" s="288" t="s">
        <v>17</v>
      </c>
      <c r="B36" s="289" t="str">
        <f>IF(D36+E36=C36,"richtig","FALSCH")</f>
        <v>richtig</v>
      </c>
      <c r="C36" s="290">
        <f>SUMIF(Jan.!$H$15:$H$16000,$B33,Jan.!$E$15:$E$16000)</f>
        <v>1780</v>
      </c>
      <c r="D36" s="290">
        <f>SUMIF(Jan.!$D$15:$D$16000,$F$4,Jan.!$L$15:$L$16000)</f>
        <v>0</v>
      </c>
      <c r="E36" s="290">
        <f>SUMIF(Jan.!$D$15:$D$16000,$F$5,Jan.!$L$15:$L$16000)</f>
        <v>1780</v>
      </c>
      <c r="F36" s="414"/>
      <c r="H36" s="288" t="s">
        <v>17</v>
      </c>
      <c r="I36" s="289" t="str">
        <f>IF(K36+L36=J36,"richtig","FALSCH")</f>
        <v>richtig</v>
      </c>
      <c r="J36" s="290">
        <f>SUMIF(Jan.!$H$15:$H$16000,$B33,Jan.!$G$15:$G$16000)</f>
        <v>-2350</v>
      </c>
      <c r="K36" s="290">
        <f>SUMIF(Jan.!$F$15:$F$16000,$G$4,Jan.!$L$15:$L$16000)</f>
        <v>0</v>
      </c>
      <c r="L36" s="290">
        <f>SUMIF(Jan.!$F$15:$F$16000,$G$5,Jan.!$L$15:$L$16000)</f>
        <v>-2350</v>
      </c>
      <c r="M36" s="414"/>
      <c r="N36" s="253"/>
      <c r="P36" s="267" t="str">
        <f ca="1">IF($S36="","","Konto 21")</f>
        <v/>
      </c>
      <c r="Q36" s="298" t="str">
        <f>IF($A$414="","",$A$414)</f>
        <v/>
      </c>
      <c r="R36" s="299"/>
      <c r="S36" s="297" t="str">
        <f ca="1">IF(Q36="","",INDIRECT("Jan.!$AE$5"))</f>
        <v/>
      </c>
      <c r="T36" s="212"/>
      <c r="U36" s="267" t="str">
        <f>IF(Q36="","","Konto 21")</f>
        <v/>
      </c>
      <c r="V36" s="298" t="str">
        <f t="shared" si="0"/>
        <v/>
      </c>
      <c r="W36" s="299"/>
      <c r="X36" s="297" t="str">
        <f ca="1">IF($Q36="","",INDIRECT("Dez.!$AE$7"))</f>
        <v/>
      </c>
    </row>
    <row r="37" spans="1:24">
      <c r="A37" s="275" t="s">
        <v>18</v>
      </c>
      <c r="B37" s="289" t="str">
        <f t="shared" ref="B37:B47" si="3">IF(D37+E37=C37,"richtig","FALSCH")</f>
        <v>richtig</v>
      </c>
      <c r="C37" s="269">
        <f>SUMIF(Feb.!$H$15:$H$16000,$B33,Feb.!$E$15:$E$16000)</f>
        <v>0</v>
      </c>
      <c r="D37" s="269">
        <f>SUMIF(Feb.!$D$15:$D$16000,$F$4,Feb.!$L$15:$L$16000)</f>
        <v>0</v>
      </c>
      <c r="E37" s="269">
        <f>SUMIF(Feb.!$D$15:$D$16000,$F$5,Feb.!$L$15:$L$16000)</f>
        <v>0</v>
      </c>
      <c r="F37" s="415"/>
      <c r="H37" s="275" t="s">
        <v>18</v>
      </c>
      <c r="I37" s="268" t="str">
        <f t="shared" ref="I37:I47" si="4">IF(K37+L37=J37,"richtig","FALSCH")</f>
        <v>richtig</v>
      </c>
      <c r="J37" s="269">
        <f>SUMIF(Feb.!$H$15:$H$16000,$B33,Feb.!$G$15:$G$16000)</f>
        <v>0</v>
      </c>
      <c r="K37" s="269">
        <f>SUMIF(Feb.!$F$15:$F$16000,$G$4,Feb.!$L$15:$L$16000)</f>
        <v>0</v>
      </c>
      <c r="L37" s="269">
        <f>SUMIF(Feb.!$F$15:$F$16000,$G$5,Feb.!$L$15:$L$16000)</f>
        <v>0</v>
      </c>
      <c r="M37" s="415"/>
      <c r="N37" s="253"/>
      <c r="P37" s="267" t="str">
        <f ca="1">IF($S37="","","Konto 22")</f>
        <v/>
      </c>
      <c r="Q37" s="298" t="str">
        <f>IF($A$434="","",$A$434)</f>
        <v/>
      </c>
      <c r="R37" s="299"/>
      <c r="S37" s="297" t="str">
        <f ca="1">IF(Q37="","",INDIRECT("Jan.!$AF$5"))</f>
        <v/>
      </c>
      <c r="T37" s="212"/>
      <c r="U37" s="267" t="str">
        <f>IF(Q37="","","Konto 22")</f>
        <v/>
      </c>
      <c r="V37" s="298" t="str">
        <f t="shared" si="0"/>
        <v/>
      </c>
      <c r="W37" s="299"/>
      <c r="X37" s="297" t="str">
        <f ca="1">IF($Q37="","",INDIRECT("Dez.!$AF$7"))</f>
        <v/>
      </c>
    </row>
    <row r="38" spans="1:24">
      <c r="A38" s="275" t="s">
        <v>19</v>
      </c>
      <c r="B38" s="289" t="str">
        <f t="shared" si="3"/>
        <v>richtig</v>
      </c>
      <c r="C38" s="269">
        <f>SUMIF(März!$H$15:$H$16000,$B33,März!$E$15:$E$16000)</f>
        <v>0</v>
      </c>
      <c r="D38" s="269">
        <f>SUMIF(März!$D$15:$D$16000,$F$4,März!$L$15:$L$16000)</f>
        <v>0</v>
      </c>
      <c r="E38" s="269">
        <f>SUMIF(März!$D$15:$D$16000,$F$5,März!$L$15:$L$16000)</f>
        <v>0</v>
      </c>
      <c r="F38" s="415"/>
      <c r="H38" s="275" t="s">
        <v>19</v>
      </c>
      <c r="I38" s="268" t="str">
        <f t="shared" si="4"/>
        <v>richtig</v>
      </c>
      <c r="J38" s="269">
        <f>SUMIF(März!$H$15:$H$16000,$B33,März!$G$15:$G$16000)</f>
        <v>0</v>
      </c>
      <c r="K38" s="269">
        <f>SUMIF(März!$F$15:$F$16000,$G$4,März!$L$15:$L$16000)</f>
        <v>0</v>
      </c>
      <c r="L38" s="269">
        <f>SUMIF(März!$F$15:$F$16000,$G$5,März!$L$15:$L$16000)</f>
        <v>0</v>
      </c>
      <c r="M38" s="415"/>
      <c r="N38" s="253"/>
      <c r="P38" s="267" t="str">
        <f ca="1">IF($S38="","","Konto 23")</f>
        <v/>
      </c>
      <c r="Q38" s="298" t="str">
        <f>IF($A$454="","",$A$454)</f>
        <v/>
      </c>
      <c r="R38" s="299"/>
      <c r="S38" s="297" t="str">
        <f ca="1">IF(Q38="","",INDIRECT("Jan.!$AG$5"))</f>
        <v/>
      </c>
      <c r="T38" s="212"/>
      <c r="U38" s="267" t="str">
        <f>IF(Q38="","","Konto 23")</f>
        <v/>
      </c>
      <c r="V38" s="298" t="str">
        <f t="shared" si="0"/>
        <v/>
      </c>
      <c r="W38" s="299"/>
      <c r="X38" s="297" t="str">
        <f ca="1">IF($Q38="","",INDIRECT("Dez.!$AG$7"))</f>
        <v/>
      </c>
    </row>
    <row r="39" spans="1:24">
      <c r="A39" s="275" t="s">
        <v>22</v>
      </c>
      <c r="B39" s="289" t="str">
        <f t="shared" si="3"/>
        <v>richtig</v>
      </c>
      <c r="C39" s="269">
        <f>SUMIF(April!$H$15:$H$16000,$B33,April!$E$15:$E$16000)</f>
        <v>0</v>
      </c>
      <c r="D39" s="269">
        <f>SUMIF(April!$D$15:$D$16000,$F$4,April!$L$15:$L$16000)</f>
        <v>0</v>
      </c>
      <c r="E39" s="269">
        <f>SUMIF(April!$D$15:$D$16000,$F$5,April!$L$15:$L$16000)</f>
        <v>0</v>
      </c>
      <c r="F39" s="415"/>
      <c r="H39" s="275" t="s">
        <v>22</v>
      </c>
      <c r="I39" s="268" t="str">
        <f t="shared" si="4"/>
        <v>richtig</v>
      </c>
      <c r="J39" s="269">
        <f>SUMIF(April!$H$15:$H$16000,$B33,April!$G$15:$G$16000)</f>
        <v>0</v>
      </c>
      <c r="K39" s="269">
        <f>SUMIF(April!$F$15:$F$16000,$G$4,April!$L$15:$L$16000)</f>
        <v>0</v>
      </c>
      <c r="L39" s="269">
        <f>SUMIF(April!$F$15:$F$16000,$G$5,April!$L$15:$L$16000)</f>
        <v>0</v>
      </c>
      <c r="M39" s="415"/>
      <c r="N39" s="253"/>
      <c r="P39" s="267" t="str">
        <f ca="1">IF($S39="","","Konto 24")</f>
        <v/>
      </c>
      <c r="Q39" s="298" t="str">
        <f>IF($A$474="","",$A$474)</f>
        <v/>
      </c>
      <c r="R39" s="299"/>
      <c r="S39" s="297" t="str">
        <f ca="1">IF(Q39="","",INDIRECT("Jan.!$AH$5"))</f>
        <v/>
      </c>
      <c r="T39" s="212"/>
      <c r="U39" s="267" t="str">
        <f>IF(Q39="","","Konto 24")</f>
        <v/>
      </c>
      <c r="V39" s="298" t="str">
        <f t="shared" si="0"/>
        <v/>
      </c>
      <c r="W39" s="299"/>
      <c r="X39" s="297" t="str">
        <f ca="1">IF($Q39="","",INDIRECT("Dez.!$AH$7"))</f>
        <v/>
      </c>
    </row>
    <row r="40" spans="1:24">
      <c r="A40" s="275" t="s">
        <v>23</v>
      </c>
      <c r="B40" s="289" t="str">
        <f t="shared" si="3"/>
        <v>richtig</v>
      </c>
      <c r="C40" s="269">
        <f>SUMIF(Mai!$H$15:$H$16000,$B33,Mai!$E$15:$E$16000)</f>
        <v>0</v>
      </c>
      <c r="D40" s="269">
        <f>SUMIF(Mai!$D$15:$D$16000,$F$4,Mai!$L$15:$L$16000)</f>
        <v>0</v>
      </c>
      <c r="E40" s="269">
        <f>SUMIF(Mai!$D$15:$D$16000,$F$5,Mai!$L$15:$L$16000)</f>
        <v>0</v>
      </c>
      <c r="F40" s="415"/>
      <c r="H40" s="275" t="s">
        <v>23</v>
      </c>
      <c r="I40" s="268" t="str">
        <f t="shared" si="4"/>
        <v>richtig</v>
      </c>
      <c r="J40" s="269">
        <f>SUMIF(Mai!$H$15:$H$16000,$B33,Mai!$G$15:$G$16000)</f>
        <v>0</v>
      </c>
      <c r="K40" s="269">
        <f>SUMIF(Mai!$F$15:$F$16000,$G$4,Mai!$L$15:$L$16000)</f>
        <v>0</v>
      </c>
      <c r="L40" s="269">
        <f>SUMIF(Mai!$F$15:$F$16000,$G$5,Mai!$L$15:$L$16000)</f>
        <v>0</v>
      </c>
      <c r="M40" s="415"/>
      <c r="N40" s="253"/>
      <c r="P40" s="267" t="str">
        <f ca="1">IF($S40="","","Konto 25")</f>
        <v/>
      </c>
      <c r="Q40" s="298" t="str">
        <f>IF($A$494="","",$A$494)</f>
        <v/>
      </c>
      <c r="R40" s="299"/>
      <c r="S40" s="297" t="str">
        <f ca="1">IF(Q40="","",INDIRECT("Jan.!$AI$5"))</f>
        <v/>
      </c>
      <c r="T40" s="212"/>
      <c r="U40" s="267" t="str">
        <f>IF(Q40="","","Konto 25")</f>
        <v/>
      </c>
      <c r="V40" s="298" t="str">
        <f t="shared" si="0"/>
        <v/>
      </c>
      <c r="W40" s="299"/>
      <c r="X40" s="297" t="str">
        <f ca="1">IF($Q40="","",INDIRECT("Dez.!$AI$7"))</f>
        <v/>
      </c>
    </row>
    <row r="41" spans="1:24">
      <c r="A41" s="275" t="s">
        <v>27</v>
      </c>
      <c r="B41" s="289" t="str">
        <f t="shared" si="3"/>
        <v>richtig</v>
      </c>
      <c r="C41" s="269">
        <f>SUMIF(Juni!$H$15:$H$16000,$B33,Juni!$E$15:$E$16000)</f>
        <v>0</v>
      </c>
      <c r="D41" s="269">
        <f>SUMIF(Juni!$D$15:$D$16000,$F$4,Juni!$L$15:$L$16000)</f>
        <v>0</v>
      </c>
      <c r="E41" s="269">
        <f>SUMIF(Juni!$D$15:$D$16000,$F$5,Juni!$L$15:$L$16000)</f>
        <v>0</v>
      </c>
      <c r="F41" s="415"/>
      <c r="H41" s="275" t="s">
        <v>27</v>
      </c>
      <c r="I41" s="268" t="str">
        <f t="shared" si="4"/>
        <v>richtig</v>
      </c>
      <c r="J41" s="269">
        <f>SUMIF(Juni!$H$15:$H$16000,$B33,Juni!$G$15:$G$16000)</f>
        <v>0</v>
      </c>
      <c r="K41" s="269">
        <f>SUMIF(Juni!$F$15:$F$16000,$G$4,Juni!$L$15:$L$16000)</f>
        <v>0</v>
      </c>
      <c r="L41" s="269">
        <f>SUMIF(Juni!$F$15:$F$16000,$G$5,Juni!$L$15:$L$16000)</f>
        <v>0</v>
      </c>
      <c r="M41" s="415"/>
      <c r="N41" s="253"/>
      <c r="P41" s="267" t="str">
        <f ca="1">IF($S41="","","Konto 26")</f>
        <v/>
      </c>
      <c r="Q41" s="298" t="str">
        <f>IF($A$514="","",$A$514)</f>
        <v/>
      </c>
      <c r="R41" s="299"/>
      <c r="S41" s="297" t="str">
        <f ca="1">IF(Q41="","",INDIRECT("Jan.!$AJ$5"))</f>
        <v/>
      </c>
      <c r="T41" s="212"/>
      <c r="U41" s="267" t="str">
        <f>IF(Q41="","","Konto 26")</f>
        <v/>
      </c>
      <c r="V41" s="298" t="str">
        <f t="shared" si="0"/>
        <v/>
      </c>
      <c r="W41" s="299"/>
      <c r="X41" s="297" t="str">
        <f ca="1">IF($Q41="","",INDIRECT("Dez.!$AJ$7"))</f>
        <v/>
      </c>
    </row>
    <row r="42" spans="1:24">
      <c r="A42" s="275" t="s">
        <v>28</v>
      </c>
      <c r="B42" s="289" t="str">
        <f t="shared" si="3"/>
        <v>richtig</v>
      </c>
      <c r="C42" s="269">
        <f>SUMIF(Juli!$H$15:$H$16000,$B33,Juli!$E$15:$E$16000)</f>
        <v>0</v>
      </c>
      <c r="D42" s="269">
        <f>SUMIF(Juli!$D$15:$D$16000,$F$4,Juli!$L$15:$L$16000)</f>
        <v>0</v>
      </c>
      <c r="E42" s="269">
        <f>SUMIF(Juli!$D$15:$D$16000,$F$5,Juli!$L$15:$L$16000)</f>
        <v>0</v>
      </c>
      <c r="F42" s="415"/>
      <c r="H42" s="275" t="s">
        <v>28</v>
      </c>
      <c r="I42" s="268" t="str">
        <f t="shared" si="4"/>
        <v>richtig</v>
      </c>
      <c r="J42" s="269">
        <f>SUMIF(Juli!$H$15:$H$16000,$B33,Juli!$G$15:$G$16000)</f>
        <v>0</v>
      </c>
      <c r="K42" s="269">
        <f>SUMIF(Juli!$F$15:$F$16000,$G$4,Juli!$L$15:$L$16000)</f>
        <v>0</v>
      </c>
      <c r="L42" s="269">
        <f>SUMIF(Juli!$F$15:$F$16000,$G$5,Juli!$L$15:$L$16000)</f>
        <v>0</v>
      </c>
      <c r="M42" s="415"/>
      <c r="N42" s="253"/>
      <c r="P42" s="267" t="str">
        <f ca="1">IF($S42="","","Konto 27")</f>
        <v/>
      </c>
      <c r="Q42" s="298" t="str">
        <f>IF($A$534="","",$A$534)</f>
        <v/>
      </c>
      <c r="R42" s="299"/>
      <c r="S42" s="297" t="str">
        <f ca="1">IF(Q42="","",INDIRECT("Jan.!$AK$5"))</f>
        <v/>
      </c>
      <c r="T42" s="212"/>
      <c r="U42" s="267" t="str">
        <f>IF(Q42="","","Konto 27")</f>
        <v/>
      </c>
      <c r="V42" s="298" t="str">
        <f t="shared" si="0"/>
        <v/>
      </c>
      <c r="W42" s="299"/>
      <c r="X42" s="297" t="str">
        <f ca="1">IF($Q42="","",INDIRECT("Dez.!$AK$7"))</f>
        <v/>
      </c>
    </row>
    <row r="43" spans="1:24">
      <c r="A43" s="275" t="s">
        <v>29</v>
      </c>
      <c r="B43" s="289" t="str">
        <f t="shared" si="3"/>
        <v>richtig</v>
      </c>
      <c r="C43" s="269">
        <f>SUMIF(Aug.!$H$15:$H$16000,$B33,Aug.!$E$15:$E$16000)</f>
        <v>0</v>
      </c>
      <c r="D43" s="269">
        <f>SUMIF(Aug.!$D$15:$D$16000,$F$4,Aug.!$L$15:$L$16000)</f>
        <v>0</v>
      </c>
      <c r="E43" s="269">
        <f>SUMIF(Aug.!$D$15:$D$16000,$F$5,Aug.!$L$15:$L$16000)</f>
        <v>0</v>
      </c>
      <c r="F43" s="415"/>
      <c r="H43" s="275" t="s">
        <v>29</v>
      </c>
      <c r="I43" s="268" t="str">
        <f t="shared" si="4"/>
        <v>richtig</v>
      </c>
      <c r="J43" s="269">
        <f>SUMIF(Aug.!$H$15:$H$16000,$B33,Aug.!$G$15:$G$16000)</f>
        <v>0</v>
      </c>
      <c r="K43" s="269">
        <f>SUMIF(Aug.!$F$15:$F$16000,$G$4,Aug.!$L$15:$L$16000)</f>
        <v>0</v>
      </c>
      <c r="L43" s="269">
        <f>SUMIF(Aug.!$F$15:$F$16000,$G$5,Aug.!$L$15:$L$16000)</f>
        <v>0</v>
      </c>
      <c r="M43" s="415"/>
      <c r="N43" s="253"/>
      <c r="P43" s="267" t="str">
        <f ca="1">IF($S43="","","Konto 28")</f>
        <v/>
      </c>
      <c r="Q43" s="298" t="str">
        <f>IF($A$554="","",$A$554)</f>
        <v/>
      </c>
      <c r="R43" s="299"/>
      <c r="S43" s="297" t="str">
        <f ca="1">IF(Q43="","",INDIRECT("Jan.!$AL$5"))</f>
        <v/>
      </c>
      <c r="T43" s="212"/>
      <c r="U43" s="267" t="str">
        <f>IF(Q43="","","Konto 28")</f>
        <v/>
      </c>
      <c r="V43" s="298" t="str">
        <f t="shared" si="0"/>
        <v/>
      </c>
      <c r="W43" s="299"/>
      <c r="X43" s="297" t="str">
        <f ca="1">IF($Q43="","",INDIRECT("Dez.!$AL$7"))</f>
        <v/>
      </c>
    </row>
    <row r="44" spans="1:24">
      <c r="A44" s="275" t="s">
        <v>30</v>
      </c>
      <c r="B44" s="289" t="str">
        <f t="shared" si="3"/>
        <v>richtig</v>
      </c>
      <c r="C44" s="269">
        <f>SUMIF(Sept.!$H$15:$H$16000,$B33,Sept.!$E$15:$E$16000)</f>
        <v>0</v>
      </c>
      <c r="D44" s="269">
        <f>SUMIF(Sept.!$D$15:$D$16000,$F$4,Sept.!$L$15:$L$16000)</f>
        <v>0</v>
      </c>
      <c r="E44" s="269">
        <f>SUMIF(Sept.!$D$15:$D$16000,$F$5,Sept.!$L$15:$L$16000)</f>
        <v>0</v>
      </c>
      <c r="F44" s="415"/>
      <c r="H44" s="275" t="s">
        <v>30</v>
      </c>
      <c r="I44" s="268" t="str">
        <f t="shared" si="4"/>
        <v>richtig</v>
      </c>
      <c r="J44" s="269">
        <f>SUMIF(Sept.!$H$15:$H$16000,$B33,Sept.!$G$15:$G$16000)</f>
        <v>0</v>
      </c>
      <c r="K44" s="269">
        <f>SUMIF(Sept.!$F$15:$F$16000,$G$4,Sept.!$L$15:$L$16000)</f>
        <v>0</v>
      </c>
      <c r="L44" s="269">
        <f>SUMIF(Sept.!$F$15:$F$16000,$G$5,Sept.!$L$15:$L$16000)</f>
        <v>0</v>
      </c>
      <c r="M44" s="415"/>
      <c r="N44" s="253"/>
      <c r="P44" s="267" t="str">
        <f ca="1">IF($S44="","","Konto 29")</f>
        <v/>
      </c>
      <c r="Q44" s="298" t="str">
        <f>IF($A$574="","",$A$574)</f>
        <v/>
      </c>
      <c r="R44" s="299"/>
      <c r="S44" s="297" t="str">
        <f ca="1">IF(Q44="","",INDIRECT("Jan.!$AM$5"))</f>
        <v/>
      </c>
      <c r="T44" s="212"/>
      <c r="U44" s="267" t="str">
        <f>IF(Q44="","","Konto 29")</f>
        <v/>
      </c>
      <c r="V44" s="298" t="str">
        <f t="shared" si="0"/>
        <v/>
      </c>
      <c r="W44" s="299"/>
      <c r="X44" s="297" t="str">
        <f ca="1">IF($Q44="","",INDIRECT("Dez.!$AM$7"))</f>
        <v/>
      </c>
    </row>
    <row r="45" spans="1:24">
      <c r="A45" s="275" t="s">
        <v>31</v>
      </c>
      <c r="B45" s="289" t="str">
        <f t="shared" si="3"/>
        <v>richtig</v>
      </c>
      <c r="C45" s="269">
        <f>SUMIF(Okt.!$H$15:$H$16000,$B33,Okt.!$E$15:$E$16000)</f>
        <v>0</v>
      </c>
      <c r="D45" s="269">
        <f>SUMIF(Okt.!$D$15:$D$16000,$F$4,Okt.!$L$15:$L$16000)</f>
        <v>0</v>
      </c>
      <c r="E45" s="269">
        <f>SUMIF(Okt.!$D$15:$D$16000,$F$5,Okt.!$L$15:$L$16000)</f>
        <v>0</v>
      </c>
      <c r="F45" s="415"/>
      <c r="H45" s="275" t="s">
        <v>31</v>
      </c>
      <c r="I45" s="268" t="str">
        <f t="shared" si="4"/>
        <v>richtig</v>
      </c>
      <c r="J45" s="269">
        <f>SUMIF(Okt.!$H$15:$H$16000,$B33,Okt.!$G$15:$G$16000)</f>
        <v>0</v>
      </c>
      <c r="K45" s="269">
        <f>SUMIF(Okt.!$F$15:$F$16000,$G$4,Okt.!$L$15:$L$16000)</f>
        <v>0</v>
      </c>
      <c r="L45" s="269">
        <f>SUMIF(Okt.!$F$15:$F$16000,$G$5,Okt.!$L$15:$L$16000)</f>
        <v>0</v>
      </c>
      <c r="M45" s="415"/>
      <c r="N45" s="253"/>
      <c r="P45" s="267" t="str">
        <f ca="1">IF($S45="","","Konto 30")</f>
        <v/>
      </c>
      <c r="Q45" s="298" t="str">
        <f>IF($A$594="","",$A$594)</f>
        <v/>
      </c>
      <c r="R45" s="299"/>
      <c r="S45" s="297" t="str">
        <f ca="1">IF(Q45="","",INDIRECT("Jan.!$AN$5"))</f>
        <v/>
      </c>
      <c r="T45" s="212"/>
      <c r="U45" s="267" t="str">
        <f>IF(Q45="","","Konto 30")</f>
        <v/>
      </c>
      <c r="V45" s="298" t="str">
        <f t="shared" si="0"/>
        <v/>
      </c>
      <c r="W45" s="299"/>
      <c r="X45" s="297" t="str">
        <f ca="1">IF($Q45="","",INDIRECT("Dez.!$AN$7"))</f>
        <v/>
      </c>
    </row>
    <row r="46" spans="1:24">
      <c r="A46" s="275" t="s">
        <v>32</v>
      </c>
      <c r="B46" s="289" t="str">
        <f t="shared" si="3"/>
        <v>richtig</v>
      </c>
      <c r="C46" s="269">
        <f>SUMIF(Nov.!$H$15:$H$16000,$B33,Nov.!$E$15:$E$16000)</f>
        <v>0</v>
      </c>
      <c r="D46" s="269">
        <f>SUMIF(Nov.!$D$15:$D$16000,$F$4,Nov.!$L$15:$L$16000)</f>
        <v>0</v>
      </c>
      <c r="E46" s="269">
        <f>SUMIF(Nov.!$D$15:$D$16000,$F$5,Nov.!$L$15:$L$16000)</f>
        <v>0</v>
      </c>
      <c r="F46" s="415"/>
      <c r="H46" s="275" t="s">
        <v>32</v>
      </c>
      <c r="I46" s="268" t="str">
        <f t="shared" si="4"/>
        <v>richtig</v>
      </c>
      <c r="J46" s="269">
        <f>SUMIF(Nov.!$H$15:$H$16000,$B33,Nov.!$G$15:$G$16000)</f>
        <v>0</v>
      </c>
      <c r="K46" s="269">
        <f>SUMIF(Nov.!$F$15:$F$16000,$G$4,Nov.!$L$15:$L$16000)</f>
        <v>0</v>
      </c>
      <c r="L46" s="269">
        <f>SUMIF(Nov.!$F$15:$F$16000,$G$5,Nov.!$L$15:$L$16000)</f>
        <v>0</v>
      </c>
      <c r="M46" s="415"/>
      <c r="N46" s="253"/>
      <c r="P46" s="343"/>
      <c r="Q46" s="294"/>
      <c r="R46" s="294"/>
      <c r="S46" s="270"/>
      <c r="T46" s="212"/>
      <c r="U46" s="343"/>
      <c r="V46" s="294"/>
      <c r="W46" s="271"/>
      <c r="X46" s="270"/>
    </row>
    <row r="47" spans="1:24" ht="13.5" thickBot="1">
      <c r="A47" s="276" t="s">
        <v>33</v>
      </c>
      <c r="B47" s="289" t="str">
        <f t="shared" si="3"/>
        <v>richtig</v>
      </c>
      <c r="C47" s="278">
        <f>SUMIF(Dez.!$H$15:$H$16000,$B33,Dez.!$E$15:$E$16000)</f>
        <v>0</v>
      </c>
      <c r="D47" s="278">
        <f>SUMIF(Dez.!$D$15:$D$16000,$F$4,Dez.!$L$15:$L$16000)</f>
        <v>0</v>
      </c>
      <c r="E47" s="278">
        <f>SUMIF(Dez.!$D$15:$D$16000,$F$5,Dez.!$L$15:$L$16000)</f>
        <v>0</v>
      </c>
      <c r="F47" s="416"/>
      <c r="H47" s="276" t="s">
        <v>33</v>
      </c>
      <c r="I47" s="277" t="str">
        <f t="shared" si="4"/>
        <v>richtig</v>
      </c>
      <c r="J47" s="278">
        <f>SUMIF(Dez.!$H$15:$H$16000,$B33,Dez.!$G$15:$G$16000)</f>
        <v>0</v>
      </c>
      <c r="K47" s="278">
        <f>SUMIF(Dez.!$F$15:$F$16000,$G$4,Dez.!$L$15:$L$16000)</f>
        <v>0</v>
      </c>
      <c r="L47" s="278">
        <f>SUMIF(Dez.!$F$15:$F$16000,$G$5,Dez.!$L$15:$L$16000)</f>
        <v>0</v>
      </c>
      <c r="M47" s="416"/>
      <c r="N47" s="253"/>
      <c r="P47" s="300" t="s">
        <v>11</v>
      </c>
      <c r="Q47" s="256"/>
      <c r="R47" s="256"/>
      <c r="S47" s="301">
        <f ca="1">SUM(S16:S45)</f>
        <v>2000</v>
      </c>
      <c r="U47" s="300" t="s">
        <v>10</v>
      </c>
      <c r="V47" s="256"/>
      <c r="W47" s="257"/>
      <c r="X47" s="301">
        <f ca="1">SUM(X16:X45)</f>
        <v>1490.75</v>
      </c>
    </row>
    <row r="48" spans="1:24">
      <c r="A48" s="279" t="s">
        <v>34</v>
      </c>
      <c r="B48" s="280" t="str">
        <f>IF(D48+E48=C48,"richtig","FALSCH")</f>
        <v>richtig</v>
      </c>
      <c r="C48" s="281">
        <f>SUM(C36:C47)</f>
        <v>1780</v>
      </c>
      <c r="D48" s="281">
        <f>SUM(D36:D47)</f>
        <v>0</v>
      </c>
      <c r="E48" s="281">
        <f>SUM(E36:E47)</f>
        <v>1780</v>
      </c>
      <c r="F48" s="282">
        <f>SUM(F36:F47)</f>
        <v>0</v>
      </c>
      <c r="H48" s="279"/>
      <c r="I48" s="280" t="str">
        <f>IF(K48+L48=J48,"richtig","FALSCH")</f>
        <v>richtig</v>
      </c>
      <c r="J48" s="281">
        <f>SUM(J36:J47)</f>
        <v>-2350</v>
      </c>
      <c r="K48" s="281">
        <f>SUM(K36:K47)</f>
        <v>0</v>
      </c>
      <c r="L48" s="281">
        <f>SUM(L36:L47)</f>
        <v>-2350</v>
      </c>
      <c r="M48" s="282">
        <f>SUM(M36:M47)</f>
        <v>0</v>
      </c>
      <c r="N48" s="253"/>
      <c r="P48" s="345" t="s">
        <v>240</v>
      </c>
      <c r="S48" s="344">
        <f>Jan.!A6</f>
        <v>2000</v>
      </c>
      <c r="U48" s="345" t="s">
        <v>241</v>
      </c>
      <c r="X48" s="344">
        <f>Dez.!A7</f>
        <v>1490.75</v>
      </c>
    </row>
    <row r="49" spans="1:14" ht="13.5" thickBot="1">
      <c r="A49" s="283"/>
      <c r="B49" s="296" t="s">
        <v>110</v>
      </c>
      <c r="C49" s="285">
        <f>C48+F48</f>
        <v>1780</v>
      </c>
      <c r="D49" s="286" t="s">
        <v>8</v>
      </c>
      <c r="E49" s="286"/>
      <c r="F49" s="287"/>
      <c r="H49" s="283"/>
      <c r="I49" s="296" t="s">
        <v>110</v>
      </c>
      <c r="J49" s="285">
        <f>J48+M48</f>
        <v>-2350</v>
      </c>
      <c r="K49" s="286" t="s">
        <v>9</v>
      </c>
      <c r="L49" s="286"/>
      <c r="M49" s="287"/>
      <c r="N49" s="253"/>
    </row>
    <row r="50" spans="1:14">
      <c r="A50" s="211"/>
      <c r="B50" s="211"/>
      <c r="C50" s="210"/>
      <c r="D50" s="211"/>
      <c r="E50" s="211"/>
      <c r="F50" s="211"/>
      <c r="G50" s="211"/>
      <c r="H50" s="211"/>
      <c r="I50" s="211"/>
      <c r="J50" s="210"/>
      <c r="K50" s="211"/>
      <c r="L50" s="211"/>
      <c r="M50" s="211"/>
    </row>
    <row r="51" spans="1:14">
      <c r="A51" s="211"/>
      <c r="B51" s="211"/>
      <c r="C51" s="210"/>
      <c r="D51" s="211"/>
      <c r="E51" s="211"/>
      <c r="F51" s="211"/>
      <c r="G51" s="211"/>
      <c r="H51" s="211"/>
      <c r="I51" s="211"/>
      <c r="J51" s="210"/>
      <c r="K51" s="211"/>
      <c r="L51" s="211"/>
      <c r="M51" s="211"/>
    </row>
    <row r="52" spans="1:14" ht="13.5" thickBot="1">
      <c r="A52" s="211"/>
      <c r="B52" s="211"/>
      <c r="C52" s="210"/>
      <c r="D52" s="211"/>
      <c r="E52" s="211"/>
      <c r="F52" s="211"/>
      <c r="G52" s="211"/>
      <c r="H52" s="211"/>
      <c r="I52" s="211"/>
      <c r="J52" s="210"/>
      <c r="K52" s="211"/>
      <c r="L52" s="211"/>
      <c r="M52" s="211"/>
    </row>
    <row r="53" spans="1:14" ht="13.5" thickBot="1">
      <c r="A53" s="272" t="s">
        <v>206</v>
      </c>
      <c r="B53" s="366">
        <v>3</v>
      </c>
      <c r="C53" s="421" t="s">
        <v>2</v>
      </c>
      <c r="D53" s="422"/>
      <c r="E53" s="423"/>
      <c r="F53" s="333" t="s">
        <v>223</v>
      </c>
      <c r="H53" s="272" t="str">
        <f>A53</f>
        <v>Konto Nr.</v>
      </c>
      <c r="I53" s="366">
        <f>B53</f>
        <v>3</v>
      </c>
      <c r="J53" s="421" t="s">
        <v>2</v>
      </c>
      <c r="K53" s="422"/>
      <c r="L53" s="423"/>
      <c r="M53" s="333" t="s">
        <v>225</v>
      </c>
      <c r="N53" s="253"/>
    </row>
    <row r="54" spans="1:14">
      <c r="A54" s="273" t="str">
        <f>Dez.!$M$12&amp;" "&amp;Dez.!$M$14</f>
        <v xml:space="preserve"> </v>
      </c>
      <c r="B54" s="271"/>
      <c r="C54" s="270" t="s">
        <v>193</v>
      </c>
      <c r="D54" s="270" t="s">
        <v>191</v>
      </c>
      <c r="E54" s="270" t="s">
        <v>192</v>
      </c>
      <c r="F54" s="274" t="s">
        <v>224</v>
      </c>
      <c r="H54" s="273" t="str">
        <f>A54</f>
        <v xml:space="preserve"> </v>
      </c>
      <c r="I54" s="271"/>
      <c r="J54" s="270" t="s">
        <v>194</v>
      </c>
      <c r="K54" s="270" t="s">
        <v>191</v>
      </c>
      <c r="L54" s="270" t="s">
        <v>192</v>
      </c>
      <c r="M54" s="274" t="s">
        <v>224</v>
      </c>
      <c r="N54" s="253"/>
    </row>
    <row r="55" spans="1:14" ht="13.5" thickBot="1">
      <c r="A55" s="291" t="s">
        <v>200</v>
      </c>
      <c r="B55" s="292"/>
      <c r="C55" s="284"/>
      <c r="D55" s="284"/>
      <c r="E55" s="284"/>
      <c r="F55" s="293" t="s">
        <v>7</v>
      </c>
      <c r="H55" s="291" t="s">
        <v>201</v>
      </c>
      <c r="I55" s="292"/>
      <c r="J55" s="284"/>
      <c r="K55" s="284"/>
      <c r="L55" s="284"/>
      <c r="M55" s="293" t="s">
        <v>7</v>
      </c>
      <c r="N55" s="253"/>
    </row>
    <row r="56" spans="1:14">
      <c r="A56" s="288" t="s">
        <v>17</v>
      </c>
      <c r="B56" s="289" t="str">
        <f>IF(D56+E56=C56,"richtig","FALSCH")</f>
        <v>richtig</v>
      </c>
      <c r="C56" s="290">
        <f>SUMIF(Jan.!$H$15:$H$16000,$B53,Jan.!$E$15:$E$16000)</f>
        <v>0</v>
      </c>
      <c r="D56" s="290">
        <f>SUMIF(Jan.!$D$15:$D$16000,$F$4,Jan.!$M$15:$M$16000)</f>
        <v>0</v>
      </c>
      <c r="E56" s="290">
        <f>SUMIF(Jan.!$D$15:$D$16000,$F$5,Jan.!$M$15:$M$16000)</f>
        <v>0</v>
      </c>
      <c r="F56" s="414"/>
      <c r="H56" s="288" t="s">
        <v>17</v>
      </c>
      <c r="I56" s="289" t="str">
        <f>IF(K56+L56=J56,"richtig","FALSCH")</f>
        <v>richtig</v>
      </c>
      <c r="J56" s="290">
        <f>SUMIF(Jan.!$H$15:$H$16000,$B53,Jan.!$G$15:$G$16000)</f>
        <v>0</v>
      </c>
      <c r="K56" s="290">
        <f>SUMIF(Jan.!$F$15:$F$16000,$G$4,Jan.!$M$15:$M$16000)</f>
        <v>0</v>
      </c>
      <c r="L56" s="290">
        <f>SUMIF(Jan.!$F$15:$F$16000,$G$5,Jan.!$M$15:$M$16000)</f>
        <v>0</v>
      </c>
      <c r="M56" s="414"/>
      <c r="N56" s="253"/>
    </row>
    <row r="57" spans="1:14">
      <c r="A57" s="275" t="s">
        <v>18</v>
      </c>
      <c r="B57" s="289" t="str">
        <f t="shared" ref="B57:B67" si="5">IF(D57+E57=C57,"richtig","FALSCH")</f>
        <v>richtig</v>
      </c>
      <c r="C57" s="269">
        <f>SUMIF(Feb.!$H$15:$H$16000,$B53,Feb.!$E$15:$E$16000)</f>
        <v>0</v>
      </c>
      <c r="D57" s="269">
        <f>SUMIF(Feb.!$D$15:$D$16000,$F$4,Feb.!$M$15:$M$16000)</f>
        <v>0</v>
      </c>
      <c r="E57" s="269">
        <f>SUMIF(Feb.!$D$15:$D$16000,$F$5,Feb.!$M$15:$M$16000)</f>
        <v>0</v>
      </c>
      <c r="F57" s="415"/>
      <c r="H57" s="275" t="s">
        <v>18</v>
      </c>
      <c r="I57" s="268" t="str">
        <f t="shared" ref="I57:I67" si="6">IF(K57+L57=J57,"richtig","FALSCH")</f>
        <v>richtig</v>
      </c>
      <c r="J57" s="269">
        <f>SUMIF(Feb.!$H$15:$H$16000,$B53,Feb.!$G$15:$G$16000)</f>
        <v>0</v>
      </c>
      <c r="K57" s="269">
        <f>SUMIF(Feb.!$F$15:$F$16000,$G$4,Feb.!$M$15:$M$16000)</f>
        <v>0</v>
      </c>
      <c r="L57" s="269">
        <f>SUMIF(Feb.!$F$15:$F$16000,$G$5,Feb.!$M$15:$M$16000)</f>
        <v>0</v>
      </c>
      <c r="M57" s="415"/>
      <c r="N57" s="253"/>
    </row>
    <row r="58" spans="1:14">
      <c r="A58" s="275" t="s">
        <v>19</v>
      </c>
      <c r="B58" s="289" t="str">
        <f t="shared" si="5"/>
        <v>richtig</v>
      </c>
      <c r="C58" s="269">
        <f>SUMIF(März!$H$15:$H$16000,$B53,März!$E$15:$E$16000)</f>
        <v>0</v>
      </c>
      <c r="D58" s="269">
        <f>SUMIF(März!$D$15:$D$16000,$F$4,März!$M$15:$M$16000)</f>
        <v>0</v>
      </c>
      <c r="E58" s="269">
        <f>SUMIF(März!$D$15:$D$16000,$F$5,März!$M$15:$M$16000)</f>
        <v>0</v>
      </c>
      <c r="F58" s="415"/>
      <c r="H58" s="275" t="s">
        <v>19</v>
      </c>
      <c r="I58" s="268" t="str">
        <f t="shared" si="6"/>
        <v>richtig</v>
      </c>
      <c r="J58" s="269">
        <f>SUMIF(März!$H$15:$H$16000,$B53,März!$G$15:$G$16000)</f>
        <v>0</v>
      </c>
      <c r="K58" s="269">
        <f>SUMIF(März!$F$15:$F$16000,$G$4,März!$M$15:$M$16000)</f>
        <v>0</v>
      </c>
      <c r="L58" s="269">
        <f>SUMIF(März!$F$15:$F$16000,$G$5,März!$M$15:$M$16000)</f>
        <v>0</v>
      </c>
      <c r="M58" s="415"/>
      <c r="N58" s="253"/>
    </row>
    <row r="59" spans="1:14">
      <c r="A59" s="275" t="s">
        <v>22</v>
      </c>
      <c r="B59" s="289" t="str">
        <f t="shared" si="5"/>
        <v>richtig</v>
      </c>
      <c r="C59" s="269">
        <f>SUMIF(April!$H$15:$H$16000,$B53,April!$E$15:$E$16000)</f>
        <v>0</v>
      </c>
      <c r="D59" s="269">
        <f>SUMIF(April!$D$15:$D$16000,$F$4,April!$M$15:$M$16000)</f>
        <v>0</v>
      </c>
      <c r="E59" s="269">
        <f>SUMIF(April!$D$15:$D$16000,$F$5,April!$M$15:$M$16000)</f>
        <v>0</v>
      </c>
      <c r="F59" s="415"/>
      <c r="H59" s="275" t="s">
        <v>22</v>
      </c>
      <c r="I59" s="268" t="str">
        <f t="shared" si="6"/>
        <v>richtig</v>
      </c>
      <c r="J59" s="269">
        <f>SUMIF(April!$H$15:$H$16000,$B53,April!$G$15:$G$16000)</f>
        <v>0</v>
      </c>
      <c r="K59" s="269">
        <f>SUMIF(April!$F$15:$F$16000,$G$4,April!$M$15:$M$16000)</f>
        <v>0</v>
      </c>
      <c r="L59" s="269">
        <f>SUMIF(April!$F$15:$F$16000,$G$5,April!$M$15:$M$16000)</f>
        <v>0</v>
      </c>
      <c r="M59" s="415"/>
      <c r="N59" s="253"/>
    </row>
    <row r="60" spans="1:14">
      <c r="A60" s="275" t="s">
        <v>23</v>
      </c>
      <c r="B60" s="289" t="str">
        <f t="shared" si="5"/>
        <v>richtig</v>
      </c>
      <c r="C60" s="269">
        <f>SUMIF(Mai!$H$15:$H$16000,$B53,Mai!$E$15:$E$16000)</f>
        <v>0</v>
      </c>
      <c r="D60" s="269">
        <f>SUMIF(Mai!$D$15:$D$16000,$F$4,Mai!$M$15:$M$16000)</f>
        <v>0</v>
      </c>
      <c r="E60" s="269">
        <f>SUMIF(Mai!$D$15:$D$16000,$F$5,Mai!$M$15:$M$16000)</f>
        <v>0</v>
      </c>
      <c r="F60" s="415"/>
      <c r="H60" s="275" t="s">
        <v>23</v>
      </c>
      <c r="I60" s="268" t="str">
        <f t="shared" si="6"/>
        <v>richtig</v>
      </c>
      <c r="J60" s="269">
        <f>SUMIF(Mai!$H$15:$H$16000,$B53,Mai!$G$15:$G$16000)</f>
        <v>0</v>
      </c>
      <c r="K60" s="269">
        <f>SUMIF(Mai!$F$15:$F$16000,$G$4,Mai!$M$15:$M$16000)</f>
        <v>0</v>
      </c>
      <c r="L60" s="269">
        <f>SUMIF(Mai!$F$15:$F$16000,$G$5,Mai!$M$15:$M$16000)</f>
        <v>0</v>
      </c>
      <c r="M60" s="415"/>
      <c r="N60" s="253"/>
    </row>
    <row r="61" spans="1:14">
      <c r="A61" s="275" t="s">
        <v>27</v>
      </c>
      <c r="B61" s="289" t="str">
        <f t="shared" si="5"/>
        <v>richtig</v>
      </c>
      <c r="C61" s="269">
        <f>SUMIF(Juni!$H$15:$H$16000,$B53,Juni!$E$15:$E$16000)</f>
        <v>0</v>
      </c>
      <c r="D61" s="269">
        <f>SUMIF(Juni!$D$15:$D$16000,$F$4,Juni!$M$15:$M$16000)</f>
        <v>0</v>
      </c>
      <c r="E61" s="269">
        <f>SUMIF(Juni!$D$15:$D$16000,$F$5,Juni!$M$15:$M$16000)</f>
        <v>0</v>
      </c>
      <c r="F61" s="415"/>
      <c r="H61" s="275" t="s">
        <v>27</v>
      </c>
      <c r="I61" s="268" t="str">
        <f t="shared" si="6"/>
        <v>richtig</v>
      </c>
      <c r="J61" s="269">
        <f>SUMIF(Juni!$H$15:$H$16000,$B53,Juni!$G$15:$G$16000)</f>
        <v>0</v>
      </c>
      <c r="K61" s="269">
        <f>SUMIF(Juni!$F$15:$F$16000,$G$4,Juni!$M$15:$M$16000)</f>
        <v>0</v>
      </c>
      <c r="L61" s="269">
        <f>SUMIF(Juni!$F$15:$F$16000,$G$5,Juni!$M$15:$M$16000)</f>
        <v>0</v>
      </c>
      <c r="M61" s="415"/>
      <c r="N61" s="253"/>
    </row>
    <row r="62" spans="1:14">
      <c r="A62" s="275" t="s">
        <v>28</v>
      </c>
      <c r="B62" s="289" t="str">
        <f t="shared" si="5"/>
        <v>richtig</v>
      </c>
      <c r="C62" s="269">
        <f>SUMIF(Juli!$H$15:$H$16000,$B53,Juli!$E$15:$E$16000)</f>
        <v>0</v>
      </c>
      <c r="D62" s="269">
        <f>SUMIF(Juli!$D$15:$D$16000,$F$4,Juli!$M$15:$M$16000)</f>
        <v>0</v>
      </c>
      <c r="E62" s="269">
        <f>SUMIF(Juli!$D$15:$D$16000,$F$5,Juli!$M$15:$M$16000)</f>
        <v>0</v>
      </c>
      <c r="F62" s="415"/>
      <c r="H62" s="275" t="s">
        <v>28</v>
      </c>
      <c r="I62" s="268" t="str">
        <f t="shared" si="6"/>
        <v>richtig</v>
      </c>
      <c r="J62" s="269">
        <f>SUMIF(Juli!$H$15:$H$16000,$B53,Juli!$G$15:$G$16000)</f>
        <v>0</v>
      </c>
      <c r="K62" s="269">
        <f>SUMIF(Juli!$F$15:$F$16000,$G$4,Juli!$M$15:$M$16000)</f>
        <v>0</v>
      </c>
      <c r="L62" s="269">
        <f>SUMIF(Juli!$F$15:$F$16000,$G$5,Juli!$M$15:$M$16000)</f>
        <v>0</v>
      </c>
      <c r="M62" s="415"/>
      <c r="N62" s="253"/>
    </row>
    <row r="63" spans="1:14">
      <c r="A63" s="275" t="s">
        <v>29</v>
      </c>
      <c r="B63" s="289" t="str">
        <f t="shared" si="5"/>
        <v>richtig</v>
      </c>
      <c r="C63" s="269">
        <f>SUMIF(Aug.!$H$15:$H$16000,$B53,Aug.!$E$15:$E$16000)</f>
        <v>0</v>
      </c>
      <c r="D63" s="269">
        <f>SUMIF(Aug.!$D$15:$D$16000,$F$4,Aug.!$M$15:$M$16000)</f>
        <v>0</v>
      </c>
      <c r="E63" s="269">
        <f>SUMIF(Aug.!$D$15:$D$16000,$F$5,Aug.!$M$15:$M$16000)</f>
        <v>0</v>
      </c>
      <c r="F63" s="415"/>
      <c r="H63" s="275" t="s">
        <v>29</v>
      </c>
      <c r="I63" s="268" t="str">
        <f t="shared" si="6"/>
        <v>richtig</v>
      </c>
      <c r="J63" s="269">
        <f>SUMIF(Aug.!$H$15:$H$16000,$B53,Aug.!$G$15:$G$16000)</f>
        <v>0</v>
      </c>
      <c r="K63" s="269">
        <f>SUMIF(Aug.!$F$15:$F$16000,$G$4,Aug.!$M$15:$M$16000)</f>
        <v>0</v>
      </c>
      <c r="L63" s="269">
        <f>SUMIF(Aug.!$F$15:$F$16000,$G$5,Aug.!$M$15:$M$16000)</f>
        <v>0</v>
      </c>
      <c r="M63" s="415"/>
      <c r="N63" s="253"/>
    </row>
    <row r="64" spans="1:14">
      <c r="A64" s="275" t="s">
        <v>30</v>
      </c>
      <c r="B64" s="289" t="str">
        <f t="shared" si="5"/>
        <v>richtig</v>
      </c>
      <c r="C64" s="269">
        <f>SUMIF(Sept.!$H$15:$H$16000,$B53,Sept.!$E$15:$E$16000)</f>
        <v>0</v>
      </c>
      <c r="D64" s="269">
        <f>SUMIF(Sept.!$D$15:$D$16000,$F$4,Sept.!$M$15:$M$16000)</f>
        <v>0</v>
      </c>
      <c r="E64" s="269">
        <f>SUMIF(Sept.!$D$15:$D$16000,$F$5,Sept.!$M$15:$M$16000)</f>
        <v>0</v>
      </c>
      <c r="F64" s="415"/>
      <c r="H64" s="275" t="s">
        <v>30</v>
      </c>
      <c r="I64" s="268" t="str">
        <f t="shared" si="6"/>
        <v>richtig</v>
      </c>
      <c r="J64" s="269">
        <f>SUMIF(Sept.!$H$15:$H$16000,$B53,Sept.!$G$15:$G$16000)</f>
        <v>0</v>
      </c>
      <c r="K64" s="269">
        <f>SUMIF(Sept.!$F$15:$F$16000,$G$4,Sept.!$M$15:$M$16000)</f>
        <v>0</v>
      </c>
      <c r="L64" s="269">
        <f>SUMIF(Sept.!$F$15:$F$16000,$G$5,Sept.!$M$15:$M$16000)</f>
        <v>0</v>
      </c>
      <c r="M64" s="415"/>
      <c r="N64" s="253"/>
    </row>
    <row r="65" spans="1:14">
      <c r="A65" s="275" t="s">
        <v>31</v>
      </c>
      <c r="B65" s="289" t="str">
        <f t="shared" si="5"/>
        <v>richtig</v>
      </c>
      <c r="C65" s="269">
        <f>SUMIF(Okt.!$H$15:$H$16000,$B53,Okt.!$E$15:$E$16000)</f>
        <v>0</v>
      </c>
      <c r="D65" s="269">
        <f>SUMIF(Okt.!$D$15:$D$16000,$F$4,Okt.!$M$15:$M$16000)</f>
        <v>0</v>
      </c>
      <c r="E65" s="269">
        <f>SUMIF(Okt.!$D$15:$D$16000,$F$5,Okt.!$M$15:$M$16000)</f>
        <v>0</v>
      </c>
      <c r="F65" s="415"/>
      <c r="H65" s="275" t="s">
        <v>31</v>
      </c>
      <c r="I65" s="268" t="str">
        <f t="shared" si="6"/>
        <v>richtig</v>
      </c>
      <c r="J65" s="269">
        <f>SUMIF(Okt.!$H$15:$H$16000,$B53,Okt.!$G$15:$G$16000)</f>
        <v>0</v>
      </c>
      <c r="K65" s="269">
        <f>SUMIF(Okt.!$F$15:$F$16000,$G$4,Okt.!$M$15:$M$16000)</f>
        <v>0</v>
      </c>
      <c r="L65" s="269">
        <f>SUMIF(Okt.!$F$15:$F$16000,$G$5,Okt.!$M$15:$M$16000)</f>
        <v>0</v>
      </c>
      <c r="M65" s="415"/>
      <c r="N65" s="253"/>
    </row>
    <row r="66" spans="1:14">
      <c r="A66" s="275" t="s">
        <v>32</v>
      </c>
      <c r="B66" s="289" t="str">
        <f t="shared" si="5"/>
        <v>richtig</v>
      </c>
      <c r="C66" s="269">
        <f>SUMIF(Nov.!$H$15:$H$16000,$B53,Nov.!$E$15:$E$16000)</f>
        <v>0</v>
      </c>
      <c r="D66" s="269">
        <f>SUMIF(Nov.!$D$15:$D$16000,$F$4,Nov.!$M$15:$M$16000)</f>
        <v>0</v>
      </c>
      <c r="E66" s="269">
        <f>SUMIF(Nov.!$D$15:$D$16000,$F$5,Nov.!$M$15:$M$16000)</f>
        <v>0</v>
      </c>
      <c r="F66" s="415"/>
      <c r="H66" s="275" t="s">
        <v>32</v>
      </c>
      <c r="I66" s="268" t="str">
        <f t="shared" si="6"/>
        <v>richtig</v>
      </c>
      <c r="J66" s="269">
        <f>SUMIF(Nov.!$H$15:$H$16000,$B53,Nov.!$G$15:$G$16000)</f>
        <v>0</v>
      </c>
      <c r="K66" s="269">
        <f>SUMIF(Nov.!$F$15:$F$16000,$G$4,Nov.!$M$15:$M$16000)</f>
        <v>0</v>
      </c>
      <c r="L66" s="269">
        <f>SUMIF(Nov.!$F$15:$F$16000,$G$5,Nov.!$M$15:$M$16000)</f>
        <v>0</v>
      </c>
      <c r="M66" s="415"/>
      <c r="N66" s="253"/>
    </row>
    <row r="67" spans="1:14" ht="13.5" thickBot="1">
      <c r="A67" s="276" t="s">
        <v>33</v>
      </c>
      <c r="B67" s="289" t="str">
        <f t="shared" si="5"/>
        <v>richtig</v>
      </c>
      <c r="C67" s="278">
        <f>SUMIF(Dez.!$H$15:$H$16000,$B53,Dez.!$E$15:$E$16000)</f>
        <v>0</v>
      </c>
      <c r="D67" s="278">
        <f>SUMIF(Dez.!$D$15:$D$16000,$F$4,Dez.!$M$15:$M$16000)</f>
        <v>0</v>
      </c>
      <c r="E67" s="278">
        <f>SUMIF(Dez.!$D$15:$D$16000,$F$5,Dez.!$M$15:$M$16000)</f>
        <v>0</v>
      </c>
      <c r="F67" s="416"/>
      <c r="H67" s="276" t="s">
        <v>33</v>
      </c>
      <c r="I67" s="277" t="str">
        <f t="shared" si="6"/>
        <v>richtig</v>
      </c>
      <c r="J67" s="278">
        <f>SUMIF(Dez.!$H$15:$H$16000,$B53,Dez.!$G$15:$G$16000)</f>
        <v>0</v>
      </c>
      <c r="K67" s="278">
        <f>SUMIF(Dez.!$F$15:$F$16000,$G$4,Dez.!$M$15:$M$16000)</f>
        <v>0</v>
      </c>
      <c r="L67" s="278">
        <f>SUMIF(Dez.!$F$15:$F$16000,$G$5,Dez.!$M$15:$M$16000)</f>
        <v>0</v>
      </c>
      <c r="M67" s="416"/>
      <c r="N67" s="253"/>
    </row>
    <row r="68" spans="1:14">
      <c r="A68" s="279" t="s">
        <v>34</v>
      </c>
      <c r="B68" s="280" t="str">
        <f>IF(D68+E68=C68,"richtig","FALSCH")</f>
        <v>richtig</v>
      </c>
      <c r="C68" s="281">
        <f>SUM(C56:C67)</f>
        <v>0</v>
      </c>
      <c r="D68" s="281">
        <f>SUM(D56:D67)</f>
        <v>0</v>
      </c>
      <c r="E68" s="281">
        <f>SUM(E56:E67)</f>
        <v>0</v>
      </c>
      <c r="F68" s="282">
        <f>SUM(F56:F67)</f>
        <v>0</v>
      </c>
      <c r="H68" s="279"/>
      <c r="I68" s="280" t="str">
        <f>IF(K68+L68=J68,"richtig","FALSCH")</f>
        <v>richtig</v>
      </c>
      <c r="J68" s="281">
        <f>SUM(J56:J67)</f>
        <v>0</v>
      </c>
      <c r="K68" s="281">
        <f>SUM(K56:K67)</f>
        <v>0</v>
      </c>
      <c r="L68" s="281">
        <f>SUM(L56:L67)</f>
        <v>0</v>
      </c>
      <c r="M68" s="282">
        <f>SUM(M56:M67)</f>
        <v>0</v>
      </c>
      <c r="N68" s="253"/>
    </row>
    <row r="69" spans="1:14" ht="13.5" thickBot="1">
      <c r="A69" s="283"/>
      <c r="B69" s="296" t="s">
        <v>110</v>
      </c>
      <c r="C69" s="285">
        <f>C68+F68</f>
        <v>0</v>
      </c>
      <c r="D69" s="286" t="s">
        <v>8</v>
      </c>
      <c r="E69" s="286"/>
      <c r="F69" s="287"/>
      <c r="H69" s="283"/>
      <c r="I69" s="296" t="s">
        <v>110</v>
      </c>
      <c r="J69" s="285">
        <f>J68+M68</f>
        <v>0</v>
      </c>
      <c r="K69" s="286" t="s">
        <v>9</v>
      </c>
      <c r="L69" s="286"/>
      <c r="M69" s="287"/>
      <c r="N69" s="253"/>
    </row>
    <row r="70" spans="1:14">
      <c r="A70" s="211"/>
      <c r="B70" s="211"/>
      <c r="C70" s="210"/>
      <c r="D70" s="211"/>
      <c r="E70" s="211"/>
      <c r="F70" s="211"/>
      <c r="G70" s="211"/>
      <c r="H70" s="211"/>
      <c r="I70" s="211"/>
      <c r="J70" s="210"/>
      <c r="K70" s="211"/>
      <c r="L70" s="211"/>
      <c r="M70" s="211"/>
      <c r="N70" s="211"/>
    </row>
    <row r="71" spans="1:14">
      <c r="A71" s="211"/>
      <c r="B71" s="211"/>
      <c r="C71" s="210"/>
      <c r="D71" s="211"/>
      <c r="E71" s="211"/>
      <c r="F71" s="211"/>
      <c r="G71" s="211"/>
      <c r="H71" s="211"/>
      <c r="I71" s="211"/>
      <c r="J71" s="210"/>
      <c r="K71" s="211"/>
      <c r="L71" s="211"/>
      <c r="M71" s="211"/>
      <c r="N71" s="211"/>
    </row>
    <row r="72" spans="1:14" ht="13.5" thickBot="1">
      <c r="A72" s="211"/>
      <c r="B72" s="211"/>
      <c r="C72" s="210"/>
      <c r="D72" s="211"/>
      <c r="E72" s="211"/>
      <c r="F72" s="211"/>
      <c r="G72" s="211"/>
      <c r="H72" s="211"/>
      <c r="I72" s="211"/>
      <c r="J72" s="210"/>
      <c r="K72" s="211"/>
      <c r="L72" s="211"/>
      <c r="M72" s="211"/>
      <c r="N72" s="211"/>
    </row>
    <row r="73" spans="1:14" ht="13.5" thickBot="1">
      <c r="A73" s="272" t="s">
        <v>206</v>
      </c>
      <c r="B73" s="366">
        <v>4</v>
      </c>
      <c r="C73" s="421" t="s">
        <v>2</v>
      </c>
      <c r="D73" s="422"/>
      <c r="E73" s="423"/>
      <c r="F73" s="333" t="s">
        <v>223</v>
      </c>
      <c r="H73" s="272" t="str">
        <f>A73</f>
        <v>Konto Nr.</v>
      </c>
      <c r="I73" s="366">
        <f>B73</f>
        <v>4</v>
      </c>
      <c r="J73" s="421" t="s">
        <v>2</v>
      </c>
      <c r="K73" s="422"/>
      <c r="L73" s="423"/>
      <c r="M73" s="333" t="s">
        <v>225</v>
      </c>
      <c r="N73" s="253"/>
    </row>
    <row r="74" spans="1:14">
      <c r="A74" s="273" t="str">
        <f>Dez.!$N$12&amp;" "&amp;Dez.!$N$14</f>
        <v xml:space="preserve"> </v>
      </c>
      <c r="B74" s="271"/>
      <c r="C74" s="270" t="s">
        <v>193</v>
      </c>
      <c r="D74" s="270" t="s">
        <v>191</v>
      </c>
      <c r="E74" s="270" t="s">
        <v>192</v>
      </c>
      <c r="F74" s="274" t="s">
        <v>224</v>
      </c>
      <c r="H74" s="273" t="str">
        <f>A74</f>
        <v xml:space="preserve"> </v>
      </c>
      <c r="I74" s="271"/>
      <c r="J74" s="270" t="s">
        <v>194</v>
      </c>
      <c r="K74" s="270" t="s">
        <v>191</v>
      </c>
      <c r="L74" s="270" t="s">
        <v>192</v>
      </c>
      <c r="M74" s="274" t="s">
        <v>224</v>
      </c>
      <c r="N74" s="253"/>
    </row>
    <row r="75" spans="1:14" ht="13.5" thickBot="1">
      <c r="A75" s="291" t="s">
        <v>200</v>
      </c>
      <c r="B75" s="292"/>
      <c r="C75" s="284"/>
      <c r="D75" s="284"/>
      <c r="E75" s="284"/>
      <c r="F75" s="293" t="s">
        <v>7</v>
      </c>
      <c r="H75" s="291" t="s">
        <v>201</v>
      </c>
      <c r="I75" s="292"/>
      <c r="J75" s="284"/>
      <c r="K75" s="284"/>
      <c r="L75" s="284"/>
      <c r="M75" s="293" t="s">
        <v>7</v>
      </c>
      <c r="N75" s="253"/>
    </row>
    <row r="76" spans="1:14">
      <c r="A76" s="288" t="s">
        <v>17</v>
      </c>
      <c r="B76" s="289" t="str">
        <f>IF(D76+E76=C76,"richtig","FALSCH")</f>
        <v>richtig</v>
      </c>
      <c r="C76" s="290">
        <f>SUMIF(Jan.!$H$15:$H$16000,$B73,Jan.!$E$15:$E$16000)</f>
        <v>0</v>
      </c>
      <c r="D76" s="290">
        <f>SUMIF(Jan.!$D$15:$D$16000,$F$4,Jan.!$N$15:$N$16000)</f>
        <v>0</v>
      </c>
      <c r="E76" s="290">
        <f>SUMIF(Jan.!$D$15:$D$16000,$F$5,Jan.!$N$15:$N$16000)</f>
        <v>0</v>
      </c>
      <c r="F76" s="414"/>
      <c r="H76" s="288" t="s">
        <v>17</v>
      </c>
      <c r="I76" s="289" t="str">
        <f>IF(K76+L76=J76,"richtig","FALSCH")</f>
        <v>richtig</v>
      </c>
      <c r="J76" s="290">
        <f>SUMIF(Jan.!$H$15:$H$16000,$B73,Jan.!$G$15:$G$16000)</f>
        <v>0</v>
      </c>
      <c r="K76" s="290">
        <f>SUMIF(Jan.!$F$15:$F$16000,$G$4,Jan.!$N$15:$N$16000)</f>
        <v>0</v>
      </c>
      <c r="L76" s="290">
        <f>SUMIF(Jan.!$F$15:$F$16000,$G$5,Jan.!$N$15:$N$16000)</f>
        <v>0</v>
      </c>
      <c r="M76" s="414"/>
      <c r="N76" s="253"/>
    </row>
    <row r="77" spans="1:14">
      <c r="A77" s="275" t="s">
        <v>18</v>
      </c>
      <c r="B77" s="289" t="str">
        <f t="shared" ref="B77:B87" si="7">IF(D77+E77=C77,"richtig","FALSCH")</f>
        <v>richtig</v>
      </c>
      <c r="C77" s="269">
        <f>SUMIF(Feb.!$H$15:$H$16000,$B73,Feb.!$E$15:$E$16000)</f>
        <v>0</v>
      </c>
      <c r="D77" s="269">
        <f>SUMIF(Feb.!$D$15:$D$16000,$F$4,Feb.!$N$15:$N$16000)</f>
        <v>0</v>
      </c>
      <c r="E77" s="269">
        <f>SUMIF(Feb.!$D$15:$D$16000,$F$5,Feb.!$N$15:$N$16000)</f>
        <v>0</v>
      </c>
      <c r="F77" s="415"/>
      <c r="H77" s="275" t="s">
        <v>18</v>
      </c>
      <c r="I77" s="268" t="str">
        <f t="shared" ref="I77:I87" si="8">IF(K77+L77=J77,"richtig","FALSCH")</f>
        <v>richtig</v>
      </c>
      <c r="J77" s="269">
        <f>SUMIF(Feb.!$H$15:$H$16000,$B73,Feb.!$G$15:$G$16000)</f>
        <v>0</v>
      </c>
      <c r="K77" s="269">
        <f>SUMIF(Feb.!$F$15:$F$16000,$G$4,Feb.!$N$15:$N$16000)</f>
        <v>0</v>
      </c>
      <c r="L77" s="269">
        <f>SUMIF(Feb.!$F$15:$F$16000,$G$5,Feb.!$N$15:$N$16000)</f>
        <v>0</v>
      </c>
      <c r="M77" s="415"/>
      <c r="N77" s="253"/>
    </row>
    <row r="78" spans="1:14">
      <c r="A78" s="275" t="s">
        <v>19</v>
      </c>
      <c r="B78" s="289" t="str">
        <f t="shared" si="7"/>
        <v>richtig</v>
      </c>
      <c r="C78" s="269">
        <f>SUMIF(März!$H$15:$H$16000,$B73,März!$E$15:$E$16000)</f>
        <v>0</v>
      </c>
      <c r="D78" s="269">
        <f>SUMIF(März!$D$15:$D$16000,$F$4,März!$N$15:$N$16000)</f>
        <v>0</v>
      </c>
      <c r="E78" s="269">
        <f>SUMIF(März!$D$15:$D$16000,$F$5,März!$N$15:$N$16000)</f>
        <v>0</v>
      </c>
      <c r="F78" s="415"/>
      <c r="H78" s="275" t="s">
        <v>19</v>
      </c>
      <c r="I78" s="268" t="str">
        <f t="shared" si="8"/>
        <v>richtig</v>
      </c>
      <c r="J78" s="269">
        <f>SUMIF(März!$H$15:$H$16000,$B73,März!$G$15:$G$16000)</f>
        <v>0</v>
      </c>
      <c r="K78" s="269">
        <f>SUMIF(März!$F$15:$F$16000,$G$4,März!$N$15:$N$16000)</f>
        <v>0</v>
      </c>
      <c r="L78" s="269">
        <f>SUMIF(März!$F$15:$F$16000,$G$5,März!$N$15:$N$16000)</f>
        <v>0</v>
      </c>
      <c r="M78" s="415"/>
      <c r="N78" s="253"/>
    </row>
    <row r="79" spans="1:14">
      <c r="A79" s="275" t="s">
        <v>22</v>
      </c>
      <c r="B79" s="289" t="str">
        <f t="shared" si="7"/>
        <v>richtig</v>
      </c>
      <c r="C79" s="269">
        <f>SUMIF(April!$H$15:$H$16000,$B73,April!$E$15:$E$16000)</f>
        <v>0</v>
      </c>
      <c r="D79" s="269">
        <f>SUMIF(April!$D$15:$D$16000,$F$4,April!$N$15:$N$16000)</f>
        <v>0</v>
      </c>
      <c r="E79" s="269">
        <f>SUMIF(April!$D$15:$D$16000,$F$5,April!$N$15:$N$16000)</f>
        <v>0</v>
      </c>
      <c r="F79" s="415"/>
      <c r="H79" s="275" t="s">
        <v>22</v>
      </c>
      <c r="I79" s="268" t="str">
        <f t="shared" si="8"/>
        <v>richtig</v>
      </c>
      <c r="J79" s="269">
        <f>SUMIF(April!$H$15:$H$16000,$B73,April!$G$15:$G$16000)</f>
        <v>0</v>
      </c>
      <c r="K79" s="269">
        <f>SUMIF(April!$F$15:$F$16000,$G$4,April!$N$15:$N$16000)</f>
        <v>0</v>
      </c>
      <c r="L79" s="269">
        <f>SUMIF(April!$F$15:$F$16000,$G$5,April!$N$15:$N$16000)</f>
        <v>0</v>
      </c>
      <c r="M79" s="415"/>
      <c r="N79" s="253"/>
    </row>
    <row r="80" spans="1:14">
      <c r="A80" s="275" t="s">
        <v>23</v>
      </c>
      <c r="B80" s="289" t="str">
        <f t="shared" si="7"/>
        <v>richtig</v>
      </c>
      <c r="C80" s="269">
        <f>SUMIF(Mai!$H$15:$H$16000,$B73,Mai!$E$15:$E$16000)</f>
        <v>0</v>
      </c>
      <c r="D80" s="269">
        <f>SUMIF(Mai!$D$15:$D$16000,$F$4,Mai!$N$15:$N$16000)</f>
        <v>0</v>
      </c>
      <c r="E80" s="269">
        <f>SUMIF(Mai!$D$15:$D$16000,$F$5,Mai!$N$15:$N$16000)</f>
        <v>0</v>
      </c>
      <c r="F80" s="415"/>
      <c r="H80" s="275" t="s">
        <v>23</v>
      </c>
      <c r="I80" s="268" t="str">
        <f t="shared" si="8"/>
        <v>richtig</v>
      </c>
      <c r="J80" s="269">
        <f>SUMIF(Mai!$H$15:$H$16000,$B73,Mai!$G$15:$G$16000)</f>
        <v>0</v>
      </c>
      <c r="K80" s="269">
        <f>SUMIF(Mai!$F$15:$F$16000,$G$4,Mai!$N$15:$N$16000)</f>
        <v>0</v>
      </c>
      <c r="L80" s="269">
        <f>SUMIF(Mai!$F$15:$F$16000,$G$5,Mai!$N$15:$N$16000)</f>
        <v>0</v>
      </c>
      <c r="M80" s="415"/>
      <c r="N80" s="253"/>
    </row>
    <row r="81" spans="1:14">
      <c r="A81" s="275" t="s">
        <v>27</v>
      </c>
      <c r="B81" s="289" t="str">
        <f t="shared" si="7"/>
        <v>richtig</v>
      </c>
      <c r="C81" s="269">
        <f>SUMIF(Juni!$H$15:$H$16000,$B73,Juni!$E$15:$E$16000)</f>
        <v>0</v>
      </c>
      <c r="D81" s="269">
        <f>SUMIF(Juni!$D$15:$D$16000,$F$4,Juni!$N$15:$N$16000)</f>
        <v>0</v>
      </c>
      <c r="E81" s="269">
        <f>SUMIF(Juni!$D$15:$D$16000,$F$5,Juni!$N$15:$N$16000)</f>
        <v>0</v>
      </c>
      <c r="F81" s="415"/>
      <c r="H81" s="275" t="s">
        <v>27</v>
      </c>
      <c r="I81" s="268" t="str">
        <f t="shared" si="8"/>
        <v>richtig</v>
      </c>
      <c r="J81" s="269">
        <f>SUMIF(Juni!$H$15:$H$16000,$B73,Juni!$G$15:$G$16000)</f>
        <v>0</v>
      </c>
      <c r="K81" s="269">
        <f>SUMIF(Juni!$F$15:$F$16000,$G$4,Juni!$N$15:$N$16000)</f>
        <v>0</v>
      </c>
      <c r="L81" s="269">
        <f>SUMIF(Juni!$F$15:$F$16000,$G$5,Juni!$N$15:$N$16000)</f>
        <v>0</v>
      </c>
      <c r="M81" s="415"/>
      <c r="N81" s="253"/>
    </row>
    <row r="82" spans="1:14">
      <c r="A82" s="275" t="s">
        <v>28</v>
      </c>
      <c r="B82" s="289" t="str">
        <f t="shared" si="7"/>
        <v>richtig</v>
      </c>
      <c r="C82" s="269">
        <f>SUMIF(Juli!$H$15:$H$16000,$B73,Juli!$E$15:$E$16000)</f>
        <v>0</v>
      </c>
      <c r="D82" s="269">
        <f>SUMIF(Juli!$D$15:$D$16000,$F$4,Juli!$N$15:$N$16000)</f>
        <v>0</v>
      </c>
      <c r="E82" s="269">
        <f>SUMIF(Juli!$D$15:$D$16000,$F$5,Juli!$N$15:$N$16000)</f>
        <v>0</v>
      </c>
      <c r="F82" s="415"/>
      <c r="H82" s="275" t="s">
        <v>28</v>
      </c>
      <c r="I82" s="268" t="str">
        <f t="shared" si="8"/>
        <v>richtig</v>
      </c>
      <c r="J82" s="269">
        <f>SUMIF(Juli!$H$15:$H$16000,$B73,Juli!$G$15:$G$16000)</f>
        <v>0</v>
      </c>
      <c r="K82" s="269">
        <f>SUMIF(Juli!$F$15:$F$16000,$G$4,Juli!$N$15:$N$16000)</f>
        <v>0</v>
      </c>
      <c r="L82" s="269">
        <f>SUMIF(Juli!$F$15:$F$16000,$G$5,Juli!$N$15:$N$16000)</f>
        <v>0</v>
      </c>
      <c r="M82" s="415"/>
      <c r="N82" s="253"/>
    </row>
    <row r="83" spans="1:14">
      <c r="A83" s="275" t="s">
        <v>29</v>
      </c>
      <c r="B83" s="289" t="str">
        <f t="shared" si="7"/>
        <v>richtig</v>
      </c>
      <c r="C83" s="269">
        <f>SUMIF(Aug.!$H$15:$H$16000,$B73,Aug.!$E$15:$E$16000)</f>
        <v>0</v>
      </c>
      <c r="D83" s="269">
        <f>SUMIF(Aug.!$D$15:$D$16000,$F$4,Aug.!$N$15:$N$16000)</f>
        <v>0</v>
      </c>
      <c r="E83" s="269">
        <f>SUMIF(Aug.!$D$15:$D$16000,$F$5,Aug.!$N$15:$N$16000)</f>
        <v>0</v>
      </c>
      <c r="F83" s="415"/>
      <c r="H83" s="275" t="s">
        <v>29</v>
      </c>
      <c r="I83" s="268" t="str">
        <f t="shared" si="8"/>
        <v>richtig</v>
      </c>
      <c r="J83" s="269">
        <f>SUMIF(Aug.!$H$15:$H$16000,$B73,Aug.!$G$15:$G$16000)</f>
        <v>0</v>
      </c>
      <c r="K83" s="269">
        <f>SUMIF(Aug.!$F$15:$F$16000,$G$4,Aug.!$N$15:$N$16000)</f>
        <v>0</v>
      </c>
      <c r="L83" s="269">
        <f>SUMIF(Aug.!$F$15:$F$16000,$G$5,Aug.!$N$15:$N$16000)</f>
        <v>0</v>
      </c>
      <c r="M83" s="415"/>
      <c r="N83" s="253"/>
    </row>
    <row r="84" spans="1:14">
      <c r="A84" s="275" t="s">
        <v>30</v>
      </c>
      <c r="B84" s="289" t="str">
        <f t="shared" si="7"/>
        <v>richtig</v>
      </c>
      <c r="C84" s="269">
        <f>SUMIF(Sept.!$H$15:$H$16000,$B73,Sept.!$E$15:$E$16000)</f>
        <v>0</v>
      </c>
      <c r="D84" s="269">
        <f>SUMIF(Sept.!$D$15:$D$16000,$F$4,Sept.!$N$15:$N$16000)</f>
        <v>0</v>
      </c>
      <c r="E84" s="269">
        <f>SUMIF(Sept.!$D$15:$D$16000,$F$5,Sept.!$N$15:$N$16000)</f>
        <v>0</v>
      </c>
      <c r="F84" s="415"/>
      <c r="H84" s="275" t="s">
        <v>30</v>
      </c>
      <c r="I84" s="268" t="str">
        <f t="shared" si="8"/>
        <v>richtig</v>
      </c>
      <c r="J84" s="269">
        <f>SUMIF(Sept.!$H$15:$H$16000,$B73,Sept.!$G$15:$G$16000)</f>
        <v>0</v>
      </c>
      <c r="K84" s="269">
        <f>SUMIF(Sept.!$F$15:$F$16000,$G$4,Sept.!$N$15:$N$16000)</f>
        <v>0</v>
      </c>
      <c r="L84" s="269">
        <f>SUMIF(Sept.!$F$15:$F$16000,$G$5,Sept.!$N$15:$N$16000)</f>
        <v>0</v>
      </c>
      <c r="M84" s="415"/>
      <c r="N84" s="253"/>
    </row>
    <row r="85" spans="1:14">
      <c r="A85" s="275" t="s">
        <v>31</v>
      </c>
      <c r="B85" s="289" t="str">
        <f t="shared" si="7"/>
        <v>richtig</v>
      </c>
      <c r="C85" s="269">
        <f>SUMIF(Okt.!$H$15:$H$16000,$B73,Okt.!$E$15:$E$16000)</f>
        <v>0</v>
      </c>
      <c r="D85" s="269">
        <f>SUMIF(Okt.!$D$15:$D$16000,$F$4,Okt.!$N$15:$N$16000)</f>
        <v>0</v>
      </c>
      <c r="E85" s="269">
        <f>SUMIF(Okt.!$D$15:$D$16000,$F$5,Okt.!$N$15:$N$16000)</f>
        <v>0</v>
      </c>
      <c r="F85" s="415"/>
      <c r="H85" s="275" t="s">
        <v>31</v>
      </c>
      <c r="I85" s="268" t="str">
        <f t="shared" si="8"/>
        <v>richtig</v>
      </c>
      <c r="J85" s="269">
        <f>SUMIF(Okt.!$H$15:$H$16000,$B73,Okt.!$G$15:$G$16000)</f>
        <v>0</v>
      </c>
      <c r="K85" s="269">
        <f>SUMIF(Okt.!$F$15:$F$16000,$G$4,Okt.!$N$15:$N$16000)</f>
        <v>0</v>
      </c>
      <c r="L85" s="269">
        <f>SUMIF(Okt.!$F$15:$F$16000,$G$5,Okt.!$N$15:$N$16000)</f>
        <v>0</v>
      </c>
      <c r="M85" s="415"/>
      <c r="N85" s="253"/>
    </row>
    <row r="86" spans="1:14">
      <c r="A86" s="275" t="s">
        <v>32</v>
      </c>
      <c r="B86" s="289" t="str">
        <f t="shared" si="7"/>
        <v>richtig</v>
      </c>
      <c r="C86" s="269">
        <f>SUMIF(Nov.!$H$15:$H$16000,$B73,Nov.!$E$15:$E$16000)</f>
        <v>0</v>
      </c>
      <c r="D86" s="269">
        <f>SUMIF(Nov.!$D$15:$D$16000,$F$4,Nov.!$N$15:$N$16000)</f>
        <v>0</v>
      </c>
      <c r="E86" s="269">
        <f>SUMIF(Nov.!$D$15:$D$16000,$F$5,Nov.!$N$15:$N$16000)</f>
        <v>0</v>
      </c>
      <c r="F86" s="415"/>
      <c r="H86" s="275" t="s">
        <v>32</v>
      </c>
      <c r="I86" s="268" t="str">
        <f t="shared" si="8"/>
        <v>richtig</v>
      </c>
      <c r="J86" s="269">
        <f>SUMIF(Nov.!$H$15:$H$16000,$B73,Nov.!$G$15:$G$16000)</f>
        <v>0</v>
      </c>
      <c r="K86" s="269">
        <f>SUMIF(Nov.!$F$15:$F$16000,$G$4,Nov.!$N$15:$N$16000)</f>
        <v>0</v>
      </c>
      <c r="L86" s="269">
        <f>SUMIF(Nov.!$F$15:$F$16000,$G$5,Nov.!$N$15:$N$16000)</f>
        <v>0</v>
      </c>
      <c r="M86" s="415"/>
      <c r="N86" s="253"/>
    </row>
    <row r="87" spans="1:14" ht="13.5" thickBot="1">
      <c r="A87" s="276" t="s">
        <v>33</v>
      </c>
      <c r="B87" s="289" t="str">
        <f t="shared" si="7"/>
        <v>richtig</v>
      </c>
      <c r="C87" s="278">
        <f>SUMIF(Dez.!$H$15:$H$16000,$B73,Dez.!$E$15:$E$16000)</f>
        <v>0</v>
      </c>
      <c r="D87" s="278">
        <f>SUMIF(Dez.!$D$15:$D$16000,$F$4,Dez.!$N$15:$N$16000)</f>
        <v>0</v>
      </c>
      <c r="E87" s="278">
        <f>SUMIF(Dez.!$D$15:$D$16000,$F$5,Dez.!$N$15:$N$16000)</f>
        <v>0</v>
      </c>
      <c r="F87" s="416"/>
      <c r="H87" s="276" t="s">
        <v>33</v>
      </c>
      <c r="I87" s="277" t="str">
        <f t="shared" si="8"/>
        <v>richtig</v>
      </c>
      <c r="J87" s="278">
        <f>SUMIF(Dez.!$H$15:$H$16000,$B73,Dez.!$G$15:$G$16000)</f>
        <v>0</v>
      </c>
      <c r="K87" s="278">
        <f>SUMIF(Dez.!$F$15:$F$16000,$G$4,Dez.!$N$15:$N$16000)</f>
        <v>0</v>
      </c>
      <c r="L87" s="278">
        <f>SUMIF(Dez.!$F$15:$F$16000,$G$5,Dez.!$N$15:$N$16000)</f>
        <v>0</v>
      </c>
      <c r="M87" s="416"/>
      <c r="N87" s="253"/>
    </row>
    <row r="88" spans="1:14">
      <c r="A88" s="279" t="s">
        <v>34</v>
      </c>
      <c r="B88" s="280" t="str">
        <f>IF(D88+E88=C88,"richtig","FALSCH")</f>
        <v>richtig</v>
      </c>
      <c r="C88" s="281">
        <f>SUM(C76:C87)</f>
        <v>0</v>
      </c>
      <c r="D88" s="281">
        <f>SUM(D76:D87)</f>
        <v>0</v>
      </c>
      <c r="E88" s="281">
        <f>SUM(E76:E87)</f>
        <v>0</v>
      </c>
      <c r="F88" s="282">
        <f>SUM(F76:F87)</f>
        <v>0</v>
      </c>
      <c r="H88" s="279"/>
      <c r="I88" s="280" t="str">
        <f>IF(K88+L88=J88,"richtig","FALSCH")</f>
        <v>richtig</v>
      </c>
      <c r="J88" s="281">
        <f>SUM(J76:J87)</f>
        <v>0</v>
      </c>
      <c r="K88" s="281">
        <f>SUM(K76:K87)</f>
        <v>0</v>
      </c>
      <c r="L88" s="281">
        <f>SUM(L76:L87)</f>
        <v>0</v>
      </c>
      <c r="M88" s="282">
        <f>SUM(M76:M87)</f>
        <v>0</v>
      </c>
      <c r="N88" s="253"/>
    </row>
    <row r="89" spans="1:14" ht="13.5" thickBot="1">
      <c r="A89" s="283" t="s">
        <v>207</v>
      </c>
      <c r="B89" s="296" t="s">
        <v>110</v>
      </c>
      <c r="C89" s="285">
        <f>C88+F88</f>
        <v>0</v>
      </c>
      <c r="D89" s="286" t="s">
        <v>8</v>
      </c>
      <c r="E89" s="286"/>
      <c r="F89" s="287"/>
      <c r="H89" s="283"/>
      <c r="I89" s="296" t="s">
        <v>110</v>
      </c>
      <c r="J89" s="285">
        <f>J88+M88</f>
        <v>0</v>
      </c>
      <c r="K89" s="286" t="s">
        <v>9</v>
      </c>
      <c r="L89" s="286"/>
      <c r="M89" s="287"/>
      <c r="N89" s="253"/>
    </row>
    <row r="90" spans="1:14">
      <c r="A90" s="211"/>
      <c r="B90" s="211"/>
      <c r="C90" s="210"/>
      <c r="D90" s="211"/>
      <c r="E90" s="211"/>
      <c r="F90" s="211"/>
      <c r="G90" s="211"/>
      <c r="H90" s="211"/>
      <c r="I90" s="211"/>
      <c r="J90" s="210"/>
      <c r="K90" s="211"/>
      <c r="L90" s="211"/>
      <c r="M90" s="211"/>
      <c r="N90" s="211"/>
    </row>
    <row r="91" spans="1:14">
      <c r="A91" s="211"/>
      <c r="B91" s="211"/>
      <c r="C91" s="210"/>
      <c r="D91" s="211"/>
      <c r="E91" s="211"/>
      <c r="F91" s="211"/>
      <c r="G91" s="211"/>
      <c r="H91" s="211"/>
      <c r="I91" s="211"/>
      <c r="J91" s="210"/>
      <c r="K91" s="211"/>
      <c r="L91" s="211"/>
      <c r="M91" s="211"/>
      <c r="N91" s="211"/>
    </row>
    <row r="92" spans="1:14">
      <c r="A92" s="211"/>
      <c r="B92" s="211"/>
      <c r="C92" s="210"/>
      <c r="D92" s="211"/>
      <c r="E92" s="211"/>
      <c r="F92" s="211"/>
      <c r="G92" s="211"/>
      <c r="H92" s="211"/>
      <c r="I92" s="211"/>
      <c r="J92" s="210"/>
      <c r="K92" s="211"/>
      <c r="L92" s="211"/>
      <c r="M92" s="211"/>
      <c r="N92" s="211"/>
    </row>
    <row r="93" spans="1:14">
      <c r="A93" s="408"/>
      <c r="B93" s="409"/>
      <c r="C93" s="420"/>
      <c r="D93" s="420"/>
      <c r="E93" s="420"/>
      <c r="F93" s="408"/>
      <c r="G93" s="408"/>
      <c r="H93" s="408"/>
      <c r="I93" s="409"/>
      <c r="J93" s="420"/>
      <c r="K93" s="420"/>
      <c r="L93" s="420"/>
      <c r="M93" s="408"/>
      <c r="N93" s="253"/>
    </row>
    <row r="94" spans="1:14">
      <c r="A94" s="408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253"/>
    </row>
    <row r="95" spans="1:14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253"/>
    </row>
    <row r="96" spans="1:14">
      <c r="A96" s="408"/>
      <c r="B96" s="410"/>
      <c r="C96" s="412"/>
      <c r="D96" s="412"/>
      <c r="E96" s="412"/>
      <c r="F96" s="412"/>
      <c r="G96" s="408"/>
      <c r="H96" s="408"/>
      <c r="I96" s="410"/>
      <c r="J96" s="412"/>
      <c r="K96" s="412"/>
      <c r="L96" s="412"/>
      <c r="M96" s="412"/>
      <c r="N96" s="253"/>
    </row>
    <row r="97" spans="1:14">
      <c r="A97" s="408"/>
      <c r="B97" s="410"/>
      <c r="C97" s="412"/>
      <c r="D97" s="412"/>
      <c r="E97" s="412"/>
      <c r="F97" s="412"/>
      <c r="G97" s="408"/>
      <c r="H97" s="408"/>
      <c r="I97" s="410"/>
      <c r="J97" s="412"/>
      <c r="K97" s="412"/>
      <c r="L97" s="412"/>
      <c r="M97" s="412"/>
      <c r="N97" s="253"/>
    </row>
    <row r="98" spans="1:14">
      <c r="A98" s="408"/>
      <c r="B98" s="410"/>
      <c r="C98" s="412"/>
      <c r="D98" s="412"/>
      <c r="E98" s="412"/>
      <c r="F98" s="412"/>
      <c r="G98" s="408"/>
      <c r="H98" s="408"/>
      <c r="I98" s="410"/>
      <c r="J98" s="412"/>
      <c r="K98" s="412"/>
      <c r="L98" s="412"/>
      <c r="M98" s="412"/>
      <c r="N98" s="253"/>
    </row>
    <row r="99" spans="1:14">
      <c r="A99" s="408"/>
      <c r="B99" s="410"/>
      <c r="C99" s="412"/>
      <c r="D99" s="412"/>
      <c r="E99" s="412"/>
      <c r="F99" s="412"/>
      <c r="G99" s="408"/>
      <c r="H99" s="408"/>
      <c r="I99" s="410"/>
      <c r="J99" s="412"/>
      <c r="K99" s="412"/>
      <c r="L99" s="412"/>
      <c r="M99" s="412"/>
      <c r="N99" s="253"/>
    </row>
    <row r="100" spans="1:14">
      <c r="A100" s="408"/>
      <c r="B100" s="410"/>
      <c r="C100" s="412"/>
      <c r="D100" s="412"/>
      <c r="E100" s="412"/>
      <c r="F100" s="412"/>
      <c r="G100" s="408"/>
      <c r="H100" s="408"/>
      <c r="I100" s="410"/>
      <c r="J100" s="412"/>
      <c r="K100" s="412"/>
      <c r="L100" s="412"/>
      <c r="M100" s="412"/>
      <c r="N100" s="253"/>
    </row>
    <row r="101" spans="1:14">
      <c r="A101" s="408"/>
      <c r="B101" s="410"/>
      <c r="C101" s="412"/>
      <c r="D101" s="412"/>
      <c r="E101" s="412"/>
      <c r="F101" s="412"/>
      <c r="G101" s="408"/>
      <c r="H101" s="408"/>
      <c r="I101" s="410"/>
      <c r="J101" s="412"/>
      <c r="K101" s="412"/>
      <c r="L101" s="412"/>
      <c r="M101" s="412"/>
      <c r="N101" s="253"/>
    </row>
    <row r="102" spans="1:14">
      <c r="A102" s="408"/>
      <c r="B102" s="410"/>
      <c r="C102" s="412"/>
      <c r="D102" s="412"/>
      <c r="E102" s="412"/>
      <c r="F102" s="412"/>
      <c r="G102" s="408"/>
      <c r="H102" s="408"/>
      <c r="I102" s="410"/>
      <c r="J102" s="412"/>
      <c r="K102" s="412"/>
      <c r="L102" s="412"/>
      <c r="M102" s="412"/>
      <c r="N102" s="253"/>
    </row>
    <row r="103" spans="1:14">
      <c r="A103" s="408"/>
      <c r="B103" s="410"/>
      <c r="C103" s="412"/>
      <c r="D103" s="412"/>
      <c r="E103" s="412"/>
      <c r="F103" s="412"/>
      <c r="G103" s="408"/>
      <c r="H103" s="408"/>
      <c r="I103" s="410"/>
      <c r="J103" s="412"/>
      <c r="K103" s="412"/>
      <c r="L103" s="412"/>
      <c r="M103" s="412"/>
      <c r="N103" s="253"/>
    </row>
    <row r="104" spans="1:14">
      <c r="A104" s="408"/>
      <c r="B104" s="410"/>
      <c r="C104" s="412"/>
      <c r="D104" s="412"/>
      <c r="E104" s="412"/>
      <c r="F104" s="412"/>
      <c r="G104" s="408"/>
      <c r="H104" s="408"/>
      <c r="I104" s="410"/>
      <c r="J104" s="412"/>
      <c r="K104" s="412"/>
      <c r="L104" s="412"/>
      <c r="M104" s="412"/>
      <c r="N104" s="253"/>
    </row>
    <row r="105" spans="1:14">
      <c r="A105" s="408"/>
      <c r="B105" s="410"/>
      <c r="C105" s="412"/>
      <c r="D105" s="412"/>
      <c r="E105" s="412"/>
      <c r="F105" s="412"/>
      <c r="G105" s="408"/>
      <c r="H105" s="408"/>
      <c r="I105" s="410"/>
      <c r="J105" s="412"/>
      <c r="K105" s="412"/>
      <c r="L105" s="412"/>
      <c r="M105" s="412"/>
      <c r="N105" s="253"/>
    </row>
    <row r="106" spans="1:14">
      <c r="A106" s="408"/>
      <c r="B106" s="410"/>
      <c r="C106" s="412"/>
      <c r="D106" s="412"/>
      <c r="E106" s="412"/>
      <c r="F106" s="412"/>
      <c r="G106" s="408"/>
      <c r="H106" s="408"/>
      <c r="I106" s="410"/>
      <c r="J106" s="412"/>
      <c r="K106" s="412"/>
      <c r="L106" s="412"/>
      <c r="M106" s="412"/>
      <c r="N106" s="253"/>
    </row>
    <row r="107" spans="1:14">
      <c r="A107" s="408"/>
      <c r="B107" s="410"/>
      <c r="C107" s="412"/>
      <c r="D107" s="412"/>
      <c r="E107" s="412"/>
      <c r="F107" s="412"/>
      <c r="G107" s="408"/>
      <c r="H107" s="408"/>
      <c r="I107" s="410"/>
      <c r="J107" s="412"/>
      <c r="K107" s="412"/>
      <c r="L107" s="412"/>
      <c r="M107" s="412"/>
      <c r="N107" s="253"/>
    </row>
    <row r="108" spans="1:14">
      <c r="A108" s="408"/>
      <c r="B108" s="410"/>
      <c r="C108" s="411"/>
      <c r="D108" s="411"/>
      <c r="E108" s="411"/>
      <c r="F108" s="411"/>
      <c r="G108" s="408"/>
      <c r="H108" s="408"/>
      <c r="I108" s="410"/>
      <c r="J108" s="411"/>
      <c r="K108" s="411"/>
      <c r="L108" s="411"/>
      <c r="M108" s="411"/>
      <c r="N108" s="253"/>
    </row>
    <row r="109" spans="1:14">
      <c r="A109" s="408"/>
      <c r="B109" s="410"/>
      <c r="C109" s="411"/>
      <c r="D109" s="408"/>
      <c r="E109" s="408"/>
      <c r="F109" s="408"/>
      <c r="G109" s="408"/>
      <c r="H109" s="408"/>
      <c r="I109" s="410"/>
      <c r="J109" s="411"/>
      <c r="K109" s="408"/>
      <c r="L109" s="408"/>
      <c r="M109" s="408"/>
      <c r="N109" s="253"/>
    </row>
    <row r="110" spans="1:14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</row>
    <row r="111" spans="1:14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</row>
    <row r="112" spans="1:14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</row>
    <row r="113" spans="1:14">
      <c r="A113" s="408"/>
      <c r="B113" s="409"/>
      <c r="C113" s="420"/>
      <c r="D113" s="420"/>
      <c r="E113" s="420"/>
      <c r="F113" s="408"/>
      <c r="G113" s="408"/>
      <c r="H113" s="408"/>
      <c r="I113" s="409"/>
      <c r="J113" s="420"/>
      <c r="K113" s="420"/>
      <c r="L113" s="420"/>
      <c r="M113" s="408"/>
      <c r="N113" s="253"/>
    </row>
    <row r="114" spans="1:14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253"/>
    </row>
    <row r="115" spans="1:14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253"/>
    </row>
    <row r="116" spans="1:14">
      <c r="A116" s="408"/>
      <c r="B116" s="410"/>
      <c r="C116" s="412"/>
      <c r="D116" s="412"/>
      <c r="E116" s="412"/>
      <c r="F116" s="412"/>
      <c r="G116" s="408"/>
      <c r="H116" s="408"/>
      <c r="I116" s="410"/>
      <c r="J116" s="412"/>
      <c r="K116" s="412"/>
      <c r="L116" s="412"/>
      <c r="M116" s="412"/>
      <c r="N116" s="253"/>
    </row>
    <row r="117" spans="1:14">
      <c r="A117" s="408"/>
      <c r="B117" s="410"/>
      <c r="C117" s="412"/>
      <c r="D117" s="412"/>
      <c r="E117" s="412"/>
      <c r="F117" s="412"/>
      <c r="G117" s="408"/>
      <c r="H117" s="408"/>
      <c r="I117" s="410"/>
      <c r="J117" s="412"/>
      <c r="K117" s="412"/>
      <c r="L117" s="412"/>
      <c r="M117" s="412"/>
      <c r="N117" s="253"/>
    </row>
    <row r="118" spans="1:14">
      <c r="A118" s="408"/>
      <c r="B118" s="410"/>
      <c r="C118" s="412"/>
      <c r="D118" s="412"/>
      <c r="E118" s="412"/>
      <c r="F118" s="412"/>
      <c r="G118" s="408"/>
      <c r="H118" s="408"/>
      <c r="I118" s="410"/>
      <c r="J118" s="412"/>
      <c r="K118" s="412"/>
      <c r="L118" s="412"/>
      <c r="M118" s="412"/>
      <c r="N118" s="253"/>
    </row>
    <row r="119" spans="1:14">
      <c r="A119" s="408"/>
      <c r="B119" s="410"/>
      <c r="C119" s="412"/>
      <c r="D119" s="412"/>
      <c r="E119" s="412"/>
      <c r="F119" s="412"/>
      <c r="G119" s="408"/>
      <c r="H119" s="408"/>
      <c r="I119" s="410"/>
      <c r="J119" s="412"/>
      <c r="K119" s="412"/>
      <c r="L119" s="412"/>
      <c r="M119" s="412"/>
      <c r="N119" s="253"/>
    </row>
    <row r="120" spans="1:14">
      <c r="A120" s="408"/>
      <c r="B120" s="410"/>
      <c r="C120" s="412"/>
      <c r="D120" s="412"/>
      <c r="E120" s="412"/>
      <c r="F120" s="412"/>
      <c r="G120" s="408"/>
      <c r="H120" s="408"/>
      <c r="I120" s="410"/>
      <c r="J120" s="412"/>
      <c r="K120" s="412"/>
      <c r="L120" s="412"/>
      <c r="M120" s="412"/>
      <c r="N120" s="253"/>
    </row>
    <row r="121" spans="1:14">
      <c r="A121" s="408"/>
      <c r="B121" s="410"/>
      <c r="C121" s="412"/>
      <c r="D121" s="412"/>
      <c r="E121" s="412"/>
      <c r="F121" s="412"/>
      <c r="G121" s="408"/>
      <c r="H121" s="408"/>
      <c r="I121" s="410"/>
      <c r="J121" s="412"/>
      <c r="K121" s="412"/>
      <c r="L121" s="412"/>
      <c r="M121" s="412"/>
      <c r="N121" s="253"/>
    </row>
    <row r="122" spans="1:14">
      <c r="A122" s="408"/>
      <c r="B122" s="410"/>
      <c r="C122" s="412"/>
      <c r="D122" s="412"/>
      <c r="E122" s="412"/>
      <c r="F122" s="412"/>
      <c r="G122" s="408"/>
      <c r="H122" s="408"/>
      <c r="I122" s="410"/>
      <c r="J122" s="412"/>
      <c r="K122" s="412"/>
      <c r="L122" s="412"/>
      <c r="M122" s="412"/>
      <c r="N122" s="253"/>
    </row>
    <row r="123" spans="1:14">
      <c r="A123" s="408"/>
      <c r="B123" s="410"/>
      <c r="C123" s="412"/>
      <c r="D123" s="412"/>
      <c r="E123" s="412"/>
      <c r="F123" s="412"/>
      <c r="G123" s="408"/>
      <c r="H123" s="408"/>
      <c r="I123" s="410"/>
      <c r="J123" s="412"/>
      <c r="K123" s="412"/>
      <c r="L123" s="412"/>
      <c r="M123" s="412"/>
      <c r="N123" s="253"/>
    </row>
    <row r="124" spans="1:14">
      <c r="A124" s="408"/>
      <c r="B124" s="410"/>
      <c r="C124" s="412"/>
      <c r="D124" s="412"/>
      <c r="E124" s="412"/>
      <c r="F124" s="412"/>
      <c r="G124" s="408"/>
      <c r="H124" s="408"/>
      <c r="I124" s="410"/>
      <c r="J124" s="412"/>
      <c r="K124" s="412"/>
      <c r="L124" s="412"/>
      <c r="M124" s="412"/>
      <c r="N124" s="253"/>
    </row>
    <row r="125" spans="1:14">
      <c r="A125" s="408"/>
      <c r="B125" s="410"/>
      <c r="C125" s="412"/>
      <c r="D125" s="412"/>
      <c r="E125" s="412"/>
      <c r="F125" s="412"/>
      <c r="G125" s="408"/>
      <c r="H125" s="408"/>
      <c r="I125" s="410"/>
      <c r="J125" s="412"/>
      <c r="K125" s="412"/>
      <c r="L125" s="412"/>
      <c r="M125" s="412"/>
      <c r="N125" s="253"/>
    </row>
    <row r="126" spans="1:14">
      <c r="A126" s="408"/>
      <c r="B126" s="410"/>
      <c r="C126" s="412"/>
      <c r="D126" s="412"/>
      <c r="E126" s="412"/>
      <c r="F126" s="412"/>
      <c r="G126" s="408"/>
      <c r="H126" s="408"/>
      <c r="I126" s="410"/>
      <c r="J126" s="412"/>
      <c r="K126" s="412"/>
      <c r="L126" s="412"/>
      <c r="M126" s="412"/>
      <c r="N126" s="253"/>
    </row>
    <row r="127" spans="1:14">
      <c r="A127" s="408"/>
      <c r="B127" s="410"/>
      <c r="C127" s="412"/>
      <c r="D127" s="412"/>
      <c r="E127" s="412"/>
      <c r="F127" s="412"/>
      <c r="G127" s="408"/>
      <c r="H127" s="408"/>
      <c r="I127" s="410"/>
      <c r="J127" s="412"/>
      <c r="K127" s="412"/>
      <c r="L127" s="412"/>
      <c r="M127" s="412"/>
      <c r="N127" s="253"/>
    </row>
    <row r="128" spans="1:14">
      <c r="A128" s="408"/>
      <c r="B128" s="410"/>
      <c r="C128" s="411"/>
      <c r="D128" s="411"/>
      <c r="E128" s="411"/>
      <c r="F128" s="411"/>
      <c r="G128" s="408"/>
      <c r="H128" s="408"/>
      <c r="I128" s="410"/>
      <c r="J128" s="411"/>
      <c r="K128" s="411"/>
      <c r="L128" s="411"/>
      <c r="M128" s="411"/>
      <c r="N128" s="253"/>
    </row>
    <row r="129" spans="1:14">
      <c r="A129" s="408"/>
      <c r="B129" s="410"/>
      <c r="C129" s="411"/>
      <c r="D129" s="408"/>
      <c r="E129" s="408"/>
      <c r="F129" s="408"/>
      <c r="G129" s="408"/>
      <c r="H129" s="408"/>
      <c r="I129" s="410"/>
      <c r="J129" s="411"/>
      <c r="K129" s="408"/>
      <c r="L129" s="408"/>
      <c r="M129" s="408"/>
      <c r="N129" s="253"/>
    </row>
    <row r="130" spans="1:14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</row>
    <row r="131" spans="1:14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</row>
    <row r="132" spans="1:14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</row>
    <row r="133" spans="1:14">
      <c r="A133" s="408"/>
      <c r="B133" s="409"/>
      <c r="C133" s="420"/>
      <c r="D133" s="420"/>
      <c r="E133" s="420"/>
      <c r="F133" s="408"/>
      <c r="G133" s="408"/>
      <c r="H133" s="408"/>
      <c r="I133" s="409"/>
      <c r="J133" s="420"/>
      <c r="K133" s="420"/>
      <c r="L133" s="420"/>
      <c r="M133" s="408"/>
      <c r="N133" s="253"/>
    </row>
    <row r="134" spans="1:14">
      <c r="A134" s="408"/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253"/>
    </row>
    <row r="135" spans="1:14">
      <c r="A135" s="408"/>
      <c r="B135" s="408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253"/>
    </row>
    <row r="136" spans="1:14">
      <c r="A136" s="408"/>
      <c r="B136" s="410"/>
      <c r="C136" s="412"/>
      <c r="D136" s="412"/>
      <c r="E136" s="412"/>
      <c r="F136" s="412"/>
      <c r="G136" s="408"/>
      <c r="H136" s="408"/>
      <c r="I136" s="410"/>
      <c r="J136" s="412"/>
      <c r="K136" s="412"/>
      <c r="L136" s="412"/>
      <c r="M136" s="412"/>
      <c r="N136" s="253"/>
    </row>
    <row r="137" spans="1:14">
      <c r="A137" s="408"/>
      <c r="B137" s="410"/>
      <c r="C137" s="412"/>
      <c r="D137" s="412"/>
      <c r="E137" s="412"/>
      <c r="F137" s="412"/>
      <c r="G137" s="408"/>
      <c r="H137" s="408"/>
      <c r="I137" s="410"/>
      <c r="J137" s="412"/>
      <c r="K137" s="412"/>
      <c r="L137" s="412"/>
      <c r="M137" s="412"/>
      <c r="N137" s="253"/>
    </row>
    <row r="138" spans="1:14">
      <c r="A138" s="408"/>
      <c r="B138" s="410"/>
      <c r="C138" s="412"/>
      <c r="D138" s="412"/>
      <c r="E138" s="412"/>
      <c r="F138" s="412"/>
      <c r="G138" s="408"/>
      <c r="H138" s="408"/>
      <c r="I138" s="410"/>
      <c r="J138" s="412"/>
      <c r="K138" s="412"/>
      <c r="L138" s="412"/>
      <c r="M138" s="412"/>
      <c r="N138" s="253"/>
    </row>
    <row r="139" spans="1:14">
      <c r="A139" s="408"/>
      <c r="B139" s="410"/>
      <c r="C139" s="412"/>
      <c r="D139" s="412"/>
      <c r="E139" s="412"/>
      <c r="F139" s="412"/>
      <c r="G139" s="408"/>
      <c r="H139" s="408"/>
      <c r="I139" s="410"/>
      <c r="J139" s="412"/>
      <c r="K139" s="412"/>
      <c r="L139" s="412"/>
      <c r="M139" s="412"/>
      <c r="N139" s="253"/>
    </row>
    <row r="140" spans="1:14">
      <c r="A140" s="408"/>
      <c r="B140" s="410"/>
      <c r="C140" s="412"/>
      <c r="D140" s="412"/>
      <c r="E140" s="412"/>
      <c r="F140" s="412"/>
      <c r="G140" s="408"/>
      <c r="H140" s="408"/>
      <c r="I140" s="410"/>
      <c r="J140" s="412"/>
      <c r="K140" s="412"/>
      <c r="L140" s="412"/>
      <c r="M140" s="412"/>
      <c r="N140" s="253"/>
    </row>
    <row r="141" spans="1:14">
      <c r="A141" s="408"/>
      <c r="B141" s="410"/>
      <c r="C141" s="412"/>
      <c r="D141" s="412"/>
      <c r="E141" s="412"/>
      <c r="F141" s="412"/>
      <c r="G141" s="408"/>
      <c r="H141" s="408"/>
      <c r="I141" s="410"/>
      <c r="J141" s="412"/>
      <c r="K141" s="412"/>
      <c r="L141" s="412"/>
      <c r="M141" s="412"/>
      <c r="N141" s="253"/>
    </row>
    <row r="142" spans="1:14">
      <c r="A142" s="408"/>
      <c r="B142" s="410"/>
      <c r="C142" s="412"/>
      <c r="D142" s="412"/>
      <c r="E142" s="412"/>
      <c r="F142" s="412"/>
      <c r="G142" s="408"/>
      <c r="H142" s="408"/>
      <c r="I142" s="410"/>
      <c r="J142" s="412"/>
      <c r="K142" s="412"/>
      <c r="L142" s="412"/>
      <c r="M142" s="412"/>
      <c r="N142" s="253"/>
    </row>
    <row r="143" spans="1:14">
      <c r="A143" s="408"/>
      <c r="B143" s="410"/>
      <c r="C143" s="412"/>
      <c r="D143" s="412"/>
      <c r="E143" s="412"/>
      <c r="F143" s="412"/>
      <c r="G143" s="408"/>
      <c r="H143" s="408"/>
      <c r="I143" s="410"/>
      <c r="J143" s="412"/>
      <c r="K143" s="412"/>
      <c r="L143" s="412"/>
      <c r="M143" s="412"/>
      <c r="N143" s="253"/>
    </row>
    <row r="144" spans="1:14">
      <c r="A144" s="408"/>
      <c r="B144" s="410"/>
      <c r="C144" s="412"/>
      <c r="D144" s="412"/>
      <c r="E144" s="412"/>
      <c r="F144" s="412"/>
      <c r="G144" s="408"/>
      <c r="H144" s="408"/>
      <c r="I144" s="410"/>
      <c r="J144" s="412"/>
      <c r="K144" s="412"/>
      <c r="L144" s="412"/>
      <c r="M144" s="412"/>
      <c r="N144" s="253"/>
    </row>
    <row r="145" spans="1:14">
      <c r="A145" s="408"/>
      <c r="B145" s="410"/>
      <c r="C145" s="412"/>
      <c r="D145" s="412"/>
      <c r="E145" s="412"/>
      <c r="F145" s="412"/>
      <c r="G145" s="408"/>
      <c r="H145" s="408"/>
      <c r="I145" s="410"/>
      <c r="J145" s="412"/>
      <c r="K145" s="412"/>
      <c r="L145" s="412"/>
      <c r="M145" s="412"/>
      <c r="N145" s="253"/>
    </row>
    <row r="146" spans="1:14">
      <c r="A146" s="408"/>
      <c r="B146" s="410"/>
      <c r="C146" s="412"/>
      <c r="D146" s="412"/>
      <c r="E146" s="412"/>
      <c r="F146" s="412"/>
      <c r="G146" s="408"/>
      <c r="H146" s="408"/>
      <c r="I146" s="410"/>
      <c r="J146" s="412"/>
      <c r="K146" s="412"/>
      <c r="L146" s="412"/>
      <c r="M146" s="412"/>
      <c r="N146" s="253"/>
    </row>
    <row r="147" spans="1:14">
      <c r="A147" s="408"/>
      <c r="B147" s="410"/>
      <c r="C147" s="412"/>
      <c r="D147" s="412"/>
      <c r="E147" s="412"/>
      <c r="F147" s="412"/>
      <c r="G147" s="408"/>
      <c r="H147" s="408"/>
      <c r="I147" s="410"/>
      <c r="J147" s="412"/>
      <c r="K147" s="412"/>
      <c r="L147" s="412"/>
      <c r="M147" s="412"/>
      <c r="N147" s="253"/>
    </row>
    <row r="148" spans="1:14">
      <c r="A148" s="408"/>
      <c r="B148" s="410"/>
      <c r="C148" s="411"/>
      <c r="D148" s="411"/>
      <c r="E148" s="411"/>
      <c r="F148" s="411"/>
      <c r="G148" s="408"/>
      <c r="H148" s="408"/>
      <c r="I148" s="410"/>
      <c r="J148" s="411"/>
      <c r="K148" s="411"/>
      <c r="L148" s="411"/>
      <c r="M148" s="411"/>
      <c r="N148" s="253"/>
    </row>
    <row r="149" spans="1:14">
      <c r="A149" s="408"/>
      <c r="B149" s="410"/>
      <c r="C149" s="411"/>
      <c r="D149" s="408"/>
      <c r="E149" s="408"/>
      <c r="F149" s="408"/>
      <c r="G149" s="408"/>
      <c r="H149" s="408"/>
      <c r="I149" s="410"/>
      <c r="J149" s="411"/>
      <c r="K149" s="408"/>
      <c r="L149" s="408"/>
      <c r="M149" s="408"/>
      <c r="N149" s="253"/>
    </row>
    <row r="150" spans="1:14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</row>
    <row r="151" spans="1:14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</row>
    <row r="152" spans="1:14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</row>
    <row r="153" spans="1:14">
      <c r="A153" s="408"/>
      <c r="B153" s="409"/>
      <c r="C153" s="420"/>
      <c r="D153" s="420"/>
      <c r="E153" s="420"/>
      <c r="F153" s="408"/>
      <c r="G153" s="408"/>
      <c r="H153" s="408"/>
      <c r="I153" s="409"/>
      <c r="J153" s="420"/>
      <c r="K153" s="420"/>
      <c r="L153" s="420"/>
      <c r="M153" s="408"/>
      <c r="N153" s="253"/>
    </row>
    <row r="154" spans="1:14">
      <c r="A154" s="408"/>
      <c r="B154" s="408"/>
      <c r="C154" s="408"/>
      <c r="D154" s="408"/>
      <c r="E154" s="408"/>
      <c r="F154" s="408"/>
      <c r="G154" s="408"/>
      <c r="H154" s="408"/>
      <c r="I154" s="408"/>
      <c r="J154" s="408"/>
      <c r="K154" s="408"/>
      <c r="L154" s="408"/>
      <c r="M154" s="408"/>
      <c r="N154" s="253"/>
    </row>
    <row r="155" spans="1:14">
      <c r="A155" s="408"/>
      <c r="B155" s="408"/>
      <c r="C155" s="408"/>
      <c r="D155" s="408"/>
      <c r="E155" s="408"/>
      <c r="F155" s="408"/>
      <c r="G155" s="408"/>
      <c r="H155" s="408"/>
      <c r="I155" s="408"/>
      <c r="J155" s="408"/>
      <c r="K155" s="408"/>
      <c r="L155" s="408"/>
      <c r="M155" s="408"/>
      <c r="N155" s="253"/>
    </row>
    <row r="156" spans="1:14">
      <c r="A156" s="408"/>
      <c r="B156" s="410"/>
      <c r="C156" s="412"/>
      <c r="D156" s="412"/>
      <c r="E156" s="412"/>
      <c r="F156" s="412"/>
      <c r="G156" s="408"/>
      <c r="H156" s="408"/>
      <c r="I156" s="410"/>
      <c r="J156" s="412"/>
      <c r="K156" s="412"/>
      <c r="L156" s="412"/>
      <c r="M156" s="412"/>
      <c r="N156" s="253"/>
    </row>
    <row r="157" spans="1:14">
      <c r="A157" s="408"/>
      <c r="B157" s="410"/>
      <c r="C157" s="412"/>
      <c r="D157" s="412"/>
      <c r="E157" s="412"/>
      <c r="F157" s="412"/>
      <c r="G157" s="408"/>
      <c r="H157" s="408"/>
      <c r="I157" s="410"/>
      <c r="J157" s="412"/>
      <c r="K157" s="412"/>
      <c r="L157" s="412"/>
      <c r="M157" s="412"/>
      <c r="N157" s="253"/>
    </row>
    <row r="158" spans="1:14">
      <c r="A158" s="408"/>
      <c r="B158" s="410"/>
      <c r="C158" s="412"/>
      <c r="D158" s="412"/>
      <c r="E158" s="412"/>
      <c r="F158" s="412"/>
      <c r="G158" s="408"/>
      <c r="H158" s="408"/>
      <c r="I158" s="410"/>
      <c r="J158" s="412"/>
      <c r="K158" s="412"/>
      <c r="L158" s="412"/>
      <c r="M158" s="412"/>
      <c r="N158" s="253"/>
    </row>
    <row r="159" spans="1:14">
      <c r="A159" s="408"/>
      <c r="B159" s="410"/>
      <c r="C159" s="412"/>
      <c r="D159" s="412"/>
      <c r="E159" s="412"/>
      <c r="F159" s="412"/>
      <c r="G159" s="408"/>
      <c r="H159" s="408"/>
      <c r="I159" s="410"/>
      <c r="J159" s="412"/>
      <c r="K159" s="412"/>
      <c r="L159" s="412"/>
      <c r="M159" s="412"/>
      <c r="N159" s="253"/>
    </row>
    <row r="160" spans="1:14">
      <c r="A160" s="408"/>
      <c r="B160" s="410"/>
      <c r="C160" s="412"/>
      <c r="D160" s="412"/>
      <c r="E160" s="412"/>
      <c r="F160" s="412"/>
      <c r="G160" s="408"/>
      <c r="H160" s="408"/>
      <c r="I160" s="410"/>
      <c r="J160" s="412"/>
      <c r="K160" s="412"/>
      <c r="L160" s="412"/>
      <c r="M160" s="412"/>
      <c r="N160" s="253"/>
    </row>
    <row r="161" spans="1:14">
      <c r="A161" s="408"/>
      <c r="B161" s="410"/>
      <c r="C161" s="412"/>
      <c r="D161" s="412"/>
      <c r="E161" s="412"/>
      <c r="F161" s="412"/>
      <c r="G161" s="408"/>
      <c r="H161" s="408"/>
      <c r="I161" s="410"/>
      <c r="J161" s="412"/>
      <c r="K161" s="412"/>
      <c r="L161" s="412"/>
      <c r="M161" s="412"/>
      <c r="N161" s="253"/>
    </row>
    <row r="162" spans="1:14">
      <c r="A162" s="408"/>
      <c r="B162" s="410"/>
      <c r="C162" s="412"/>
      <c r="D162" s="412"/>
      <c r="E162" s="412"/>
      <c r="F162" s="412"/>
      <c r="G162" s="408"/>
      <c r="H162" s="408"/>
      <c r="I162" s="410"/>
      <c r="J162" s="412"/>
      <c r="K162" s="412"/>
      <c r="L162" s="412"/>
      <c r="M162" s="412"/>
      <c r="N162" s="253"/>
    </row>
    <row r="163" spans="1:14">
      <c r="A163" s="408"/>
      <c r="B163" s="410"/>
      <c r="C163" s="412"/>
      <c r="D163" s="412"/>
      <c r="E163" s="412"/>
      <c r="F163" s="412"/>
      <c r="G163" s="408"/>
      <c r="H163" s="408"/>
      <c r="I163" s="410"/>
      <c r="J163" s="412"/>
      <c r="K163" s="412"/>
      <c r="L163" s="412"/>
      <c r="M163" s="412"/>
      <c r="N163" s="253"/>
    </row>
    <row r="164" spans="1:14">
      <c r="A164" s="408"/>
      <c r="B164" s="410"/>
      <c r="C164" s="412"/>
      <c r="D164" s="412"/>
      <c r="E164" s="412"/>
      <c r="F164" s="412"/>
      <c r="G164" s="408"/>
      <c r="H164" s="408"/>
      <c r="I164" s="410"/>
      <c r="J164" s="412"/>
      <c r="K164" s="412"/>
      <c r="L164" s="412"/>
      <c r="M164" s="412"/>
      <c r="N164" s="253"/>
    </row>
    <row r="165" spans="1:14">
      <c r="A165" s="408"/>
      <c r="B165" s="410"/>
      <c r="C165" s="412"/>
      <c r="D165" s="412"/>
      <c r="E165" s="412"/>
      <c r="F165" s="412"/>
      <c r="G165" s="408"/>
      <c r="H165" s="408"/>
      <c r="I165" s="410"/>
      <c r="J165" s="412"/>
      <c r="K165" s="412"/>
      <c r="L165" s="412"/>
      <c r="M165" s="412"/>
      <c r="N165" s="253"/>
    </row>
    <row r="166" spans="1:14">
      <c r="A166" s="408"/>
      <c r="B166" s="410"/>
      <c r="C166" s="412"/>
      <c r="D166" s="412"/>
      <c r="E166" s="412"/>
      <c r="F166" s="412"/>
      <c r="G166" s="408"/>
      <c r="H166" s="408"/>
      <c r="I166" s="410"/>
      <c r="J166" s="412"/>
      <c r="K166" s="412"/>
      <c r="L166" s="412"/>
      <c r="M166" s="412"/>
      <c r="N166" s="253"/>
    </row>
    <row r="167" spans="1:14">
      <c r="A167" s="408"/>
      <c r="B167" s="410"/>
      <c r="C167" s="412"/>
      <c r="D167" s="412"/>
      <c r="E167" s="412"/>
      <c r="F167" s="412"/>
      <c r="G167" s="408"/>
      <c r="H167" s="408"/>
      <c r="I167" s="410"/>
      <c r="J167" s="412"/>
      <c r="K167" s="412"/>
      <c r="L167" s="412"/>
      <c r="M167" s="412"/>
      <c r="N167" s="253"/>
    </row>
    <row r="168" spans="1:14">
      <c r="A168" s="408"/>
      <c r="B168" s="410"/>
      <c r="C168" s="411"/>
      <c r="D168" s="411"/>
      <c r="E168" s="411"/>
      <c r="F168" s="411"/>
      <c r="G168" s="408"/>
      <c r="H168" s="408"/>
      <c r="I168" s="410"/>
      <c r="J168" s="411"/>
      <c r="K168" s="411"/>
      <c r="L168" s="411"/>
      <c r="M168" s="411"/>
      <c r="N168" s="253"/>
    </row>
    <row r="169" spans="1:14">
      <c r="A169" s="408"/>
      <c r="B169" s="410"/>
      <c r="C169" s="411"/>
      <c r="D169" s="408"/>
      <c r="E169" s="408"/>
      <c r="F169" s="408"/>
      <c r="G169" s="408"/>
      <c r="H169" s="408"/>
      <c r="I169" s="410"/>
      <c r="J169" s="411"/>
      <c r="K169" s="408"/>
      <c r="L169" s="408"/>
      <c r="M169" s="408"/>
      <c r="N169" s="253"/>
    </row>
    <row r="170" spans="1:14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</row>
    <row r="171" spans="1:14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</row>
    <row r="172" spans="1:14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</row>
    <row r="173" spans="1:14">
      <c r="A173" s="408"/>
      <c r="B173" s="409"/>
      <c r="C173" s="420"/>
      <c r="D173" s="420"/>
      <c r="E173" s="420"/>
      <c r="F173" s="408"/>
      <c r="G173" s="408"/>
      <c r="H173" s="408"/>
      <c r="I173" s="409"/>
      <c r="J173" s="420"/>
      <c r="K173" s="420"/>
      <c r="L173" s="420"/>
      <c r="M173" s="408"/>
      <c r="N173" s="253"/>
    </row>
    <row r="174" spans="1:14">
      <c r="A174" s="408"/>
      <c r="B174" s="408"/>
      <c r="C174" s="408"/>
      <c r="D174" s="408"/>
      <c r="E174" s="408"/>
      <c r="F174" s="408"/>
      <c r="G174" s="408"/>
      <c r="H174" s="408"/>
      <c r="I174" s="408"/>
      <c r="J174" s="408"/>
      <c r="K174" s="408"/>
      <c r="L174" s="408"/>
      <c r="M174" s="408"/>
      <c r="N174" s="253"/>
    </row>
    <row r="175" spans="1:14">
      <c r="A175" s="408"/>
      <c r="B175" s="408"/>
      <c r="C175" s="408"/>
      <c r="D175" s="408"/>
      <c r="E175" s="408"/>
      <c r="F175" s="408"/>
      <c r="G175" s="408"/>
      <c r="H175" s="408"/>
      <c r="I175" s="408"/>
      <c r="J175" s="408"/>
      <c r="K175" s="408"/>
      <c r="L175" s="408"/>
      <c r="M175" s="408"/>
      <c r="N175" s="253"/>
    </row>
    <row r="176" spans="1:14">
      <c r="A176" s="408"/>
      <c r="B176" s="410"/>
      <c r="C176" s="412"/>
      <c r="D176" s="412"/>
      <c r="E176" s="412"/>
      <c r="F176" s="412"/>
      <c r="G176" s="408"/>
      <c r="H176" s="408"/>
      <c r="I176" s="410"/>
      <c r="J176" s="412"/>
      <c r="K176" s="412"/>
      <c r="L176" s="412"/>
      <c r="M176" s="412"/>
      <c r="N176" s="253"/>
    </row>
    <row r="177" spans="1:14">
      <c r="A177" s="408"/>
      <c r="B177" s="410"/>
      <c r="C177" s="412"/>
      <c r="D177" s="412"/>
      <c r="E177" s="412"/>
      <c r="F177" s="412"/>
      <c r="G177" s="408"/>
      <c r="H177" s="408"/>
      <c r="I177" s="410"/>
      <c r="J177" s="412"/>
      <c r="K177" s="412"/>
      <c r="L177" s="412"/>
      <c r="M177" s="412"/>
      <c r="N177" s="253"/>
    </row>
    <row r="178" spans="1:14">
      <c r="A178" s="408"/>
      <c r="B178" s="410"/>
      <c r="C178" s="412"/>
      <c r="D178" s="412"/>
      <c r="E178" s="412"/>
      <c r="F178" s="412"/>
      <c r="G178" s="408"/>
      <c r="H178" s="408"/>
      <c r="I178" s="410"/>
      <c r="J178" s="412"/>
      <c r="K178" s="412"/>
      <c r="L178" s="412"/>
      <c r="M178" s="412"/>
      <c r="N178" s="253"/>
    </row>
    <row r="179" spans="1:14">
      <c r="A179" s="408"/>
      <c r="B179" s="410"/>
      <c r="C179" s="412"/>
      <c r="D179" s="412"/>
      <c r="E179" s="412"/>
      <c r="F179" s="412"/>
      <c r="G179" s="408"/>
      <c r="H179" s="408"/>
      <c r="I179" s="410"/>
      <c r="J179" s="412"/>
      <c r="K179" s="412"/>
      <c r="L179" s="412"/>
      <c r="M179" s="412"/>
      <c r="N179" s="253"/>
    </row>
    <row r="180" spans="1:14">
      <c r="A180" s="408"/>
      <c r="B180" s="410"/>
      <c r="C180" s="412"/>
      <c r="D180" s="412"/>
      <c r="E180" s="412"/>
      <c r="F180" s="412"/>
      <c r="G180" s="408"/>
      <c r="H180" s="408"/>
      <c r="I180" s="410"/>
      <c r="J180" s="412"/>
      <c r="K180" s="412"/>
      <c r="L180" s="412"/>
      <c r="M180" s="412"/>
      <c r="N180" s="253"/>
    </row>
    <row r="181" spans="1:14">
      <c r="A181" s="408"/>
      <c r="B181" s="410"/>
      <c r="C181" s="412"/>
      <c r="D181" s="412"/>
      <c r="E181" s="412"/>
      <c r="F181" s="412"/>
      <c r="G181" s="408"/>
      <c r="H181" s="408"/>
      <c r="I181" s="410"/>
      <c r="J181" s="412"/>
      <c r="K181" s="412"/>
      <c r="L181" s="412"/>
      <c r="M181" s="412"/>
      <c r="N181" s="253"/>
    </row>
    <row r="182" spans="1:14">
      <c r="A182" s="408"/>
      <c r="B182" s="410"/>
      <c r="C182" s="412"/>
      <c r="D182" s="412"/>
      <c r="E182" s="412"/>
      <c r="F182" s="412"/>
      <c r="G182" s="408"/>
      <c r="H182" s="408"/>
      <c r="I182" s="410"/>
      <c r="J182" s="412"/>
      <c r="K182" s="412"/>
      <c r="L182" s="412"/>
      <c r="M182" s="412"/>
      <c r="N182" s="253"/>
    </row>
    <row r="183" spans="1:14">
      <c r="A183" s="408"/>
      <c r="B183" s="410"/>
      <c r="C183" s="412"/>
      <c r="D183" s="412"/>
      <c r="E183" s="412"/>
      <c r="F183" s="412"/>
      <c r="G183" s="408"/>
      <c r="H183" s="408"/>
      <c r="I183" s="410"/>
      <c r="J183" s="412"/>
      <c r="K183" s="412"/>
      <c r="L183" s="412"/>
      <c r="M183" s="412"/>
      <c r="N183" s="253"/>
    </row>
    <row r="184" spans="1:14">
      <c r="A184" s="408"/>
      <c r="B184" s="410"/>
      <c r="C184" s="412"/>
      <c r="D184" s="412"/>
      <c r="E184" s="412"/>
      <c r="F184" s="412"/>
      <c r="G184" s="408"/>
      <c r="H184" s="408"/>
      <c r="I184" s="410"/>
      <c r="J184" s="412"/>
      <c r="K184" s="412"/>
      <c r="L184" s="412"/>
      <c r="M184" s="412"/>
      <c r="N184" s="253"/>
    </row>
    <row r="185" spans="1:14">
      <c r="A185" s="408"/>
      <c r="B185" s="410"/>
      <c r="C185" s="412"/>
      <c r="D185" s="412"/>
      <c r="E185" s="412"/>
      <c r="F185" s="412"/>
      <c r="G185" s="408"/>
      <c r="H185" s="408"/>
      <c r="I185" s="410"/>
      <c r="J185" s="412"/>
      <c r="K185" s="412"/>
      <c r="L185" s="412"/>
      <c r="M185" s="412"/>
      <c r="N185" s="253"/>
    </row>
    <row r="186" spans="1:14">
      <c r="A186" s="408"/>
      <c r="B186" s="410"/>
      <c r="C186" s="412"/>
      <c r="D186" s="412"/>
      <c r="E186" s="412"/>
      <c r="F186" s="412"/>
      <c r="G186" s="408"/>
      <c r="H186" s="408"/>
      <c r="I186" s="410"/>
      <c r="J186" s="412"/>
      <c r="K186" s="412"/>
      <c r="L186" s="412"/>
      <c r="M186" s="412"/>
      <c r="N186" s="253"/>
    </row>
    <row r="187" spans="1:14">
      <c r="A187" s="408"/>
      <c r="B187" s="410"/>
      <c r="C187" s="412"/>
      <c r="D187" s="412"/>
      <c r="E187" s="412"/>
      <c r="F187" s="412"/>
      <c r="G187" s="408"/>
      <c r="H187" s="408"/>
      <c r="I187" s="410"/>
      <c r="J187" s="412"/>
      <c r="K187" s="412"/>
      <c r="L187" s="412"/>
      <c r="M187" s="412"/>
      <c r="N187" s="253"/>
    </row>
    <row r="188" spans="1:14">
      <c r="A188" s="408"/>
      <c r="B188" s="410"/>
      <c r="C188" s="411"/>
      <c r="D188" s="411"/>
      <c r="E188" s="411"/>
      <c r="F188" s="411"/>
      <c r="G188" s="408"/>
      <c r="H188" s="408"/>
      <c r="I188" s="410"/>
      <c r="J188" s="411"/>
      <c r="K188" s="411"/>
      <c r="L188" s="411"/>
      <c r="M188" s="411"/>
      <c r="N188" s="253"/>
    </row>
    <row r="189" spans="1:14">
      <c r="A189" s="408"/>
      <c r="B189" s="410"/>
      <c r="C189" s="411"/>
      <c r="D189" s="408"/>
      <c r="E189" s="408"/>
      <c r="F189" s="408"/>
      <c r="G189" s="408"/>
      <c r="H189" s="408"/>
      <c r="I189" s="410"/>
      <c r="J189" s="411"/>
      <c r="K189" s="408"/>
      <c r="L189" s="408"/>
      <c r="M189" s="408"/>
      <c r="N189" s="253"/>
    </row>
    <row r="190" spans="1:14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</row>
    <row r="191" spans="1:14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</row>
    <row r="192" spans="1:14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</row>
    <row r="193" spans="1:14">
      <c r="A193" s="408"/>
      <c r="B193" s="409"/>
      <c r="C193" s="420"/>
      <c r="D193" s="420"/>
      <c r="E193" s="420"/>
      <c r="F193" s="408"/>
      <c r="G193" s="408"/>
      <c r="H193" s="408"/>
      <c r="I193" s="409"/>
      <c r="J193" s="420"/>
      <c r="K193" s="420"/>
      <c r="L193" s="420"/>
      <c r="M193" s="408"/>
      <c r="N193" s="253"/>
    </row>
    <row r="194" spans="1:14">
      <c r="A194" s="408"/>
      <c r="B194" s="408"/>
      <c r="C194" s="408"/>
      <c r="D194" s="408"/>
      <c r="E194" s="408"/>
      <c r="F194" s="408"/>
      <c r="G194" s="408"/>
      <c r="H194" s="408"/>
      <c r="I194" s="408"/>
      <c r="J194" s="408"/>
      <c r="K194" s="408"/>
      <c r="L194" s="408"/>
      <c r="M194" s="408"/>
      <c r="N194" s="253"/>
    </row>
    <row r="195" spans="1:14">
      <c r="A195" s="408"/>
      <c r="B195" s="408"/>
      <c r="C195" s="408"/>
      <c r="D195" s="408"/>
      <c r="E195" s="408"/>
      <c r="F195" s="408"/>
      <c r="G195" s="408"/>
      <c r="H195" s="408"/>
      <c r="I195" s="408"/>
      <c r="J195" s="408"/>
      <c r="K195" s="408"/>
      <c r="L195" s="408"/>
      <c r="M195" s="408"/>
      <c r="N195" s="253"/>
    </row>
    <row r="196" spans="1:14">
      <c r="A196" s="408"/>
      <c r="B196" s="410"/>
      <c r="C196" s="412"/>
      <c r="D196" s="412"/>
      <c r="E196" s="412"/>
      <c r="F196" s="412"/>
      <c r="G196" s="408"/>
      <c r="H196" s="408"/>
      <c r="I196" s="410"/>
      <c r="J196" s="412"/>
      <c r="K196" s="412"/>
      <c r="L196" s="412"/>
      <c r="M196" s="412"/>
      <c r="N196" s="253"/>
    </row>
    <row r="197" spans="1:14">
      <c r="A197" s="408"/>
      <c r="B197" s="410"/>
      <c r="C197" s="412"/>
      <c r="D197" s="412"/>
      <c r="E197" s="412"/>
      <c r="F197" s="412"/>
      <c r="G197" s="408"/>
      <c r="H197" s="408"/>
      <c r="I197" s="410"/>
      <c r="J197" s="412"/>
      <c r="K197" s="412"/>
      <c r="L197" s="412"/>
      <c r="M197" s="412"/>
      <c r="N197" s="253"/>
    </row>
    <row r="198" spans="1:14">
      <c r="A198" s="408"/>
      <c r="B198" s="410"/>
      <c r="C198" s="412"/>
      <c r="D198" s="412"/>
      <c r="E198" s="412"/>
      <c r="F198" s="412"/>
      <c r="G198" s="408"/>
      <c r="H198" s="408"/>
      <c r="I198" s="410"/>
      <c r="J198" s="412"/>
      <c r="K198" s="412"/>
      <c r="L198" s="412"/>
      <c r="M198" s="412"/>
      <c r="N198" s="253"/>
    </row>
    <row r="199" spans="1:14">
      <c r="A199" s="408"/>
      <c r="B199" s="410"/>
      <c r="C199" s="412"/>
      <c r="D199" s="412"/>
      <c r="E199" s="412"/>
      <c r="F199" s="412"/>
      <c r="G199" s="408"/>
      <c r="H199" s="408"/>
      <c r="I199" s="410"/>
      <c r="J199" s="412"/>
      <c r="K199" s="412"/>
      <c r="L199" s="412"/>
      <c r="M199" s="412"/>
      <c r="N199" s="253"/>
    </row>
    <row r="200" spans="1:14">
      <c r="A200" s="408"/>
      <c r="B200" s="410"/>
      <c r="C200" s="412"/>
      <c r="D200" s="412"/>
      <c r="E200" s="412"/>
      <c r="F200" s="412"/>
      <c r="G200" s="408"/>
      <c r="H200" s="408"/>
      <c r="I200" s="410"/>
      <c r="J200" s="412"/>
      <c r="K200" s="412"/>
      <c r="L200" s="412"/>
      <c r="M200" s="412"/>
      <c r="N200" s="253"/>
    </row>
    <row r="201" spans="1:14">
      <c r="A201" s="408"/>
      <c r="B201" s="410"/>
      <c r="C201" s="412"/>
      <c r="D201" s="412"/>
      <c r="E201" s="412"/>
      <c r="F201" s="412"/>
      <c r="G201" s="408"/>
      <c r="H201" s="408"/>
      <c r="I201" s="410"/>
      <c r="J201" s="412"/>
      <c r="K201" s="412"/>
      <c r="L201" s="412"/>
      <c r="M201" s="412"/>
      <c r="N201" s="253"/>
    </row>
    <row r="202" spans="1:14">
      <c r="A202" s="408"/>
      <c r="B202" s="410"/>
      <c r="C202" s="412"/>
      <c r="D202" s="412"/>
      <c r="E202" s="412"/>
      <c r="F202" s="412"/>
      <c r="G202" s="408"/>
      <c r="H202" s="408"/>
      <c r="I202" s="410"/>
      <c r="J202" s="412"/>
      <c r="K202" s="412"/>
      <c r="L202" s="412"/>
      <c r="M202" s="412"/>
      <c r="N202" s="253"/>
    </row>
    <row r="203" spans="1:14">
      <c r="A203" s="408"/>
      <c r="B203" s="410"/>
      <c r="C203" s="412"/>
      <c r="D203" s="412"/>
      <c r="E203" s="412"/>
      <c r="F203" s="412"/>
      <c r="G203" s="408"/>
      <c r="H203" s="408"/>
      <c r="I203" s="410"/>
      <c r="J203" s="412"/>
      <c r="K203" s="412"/>
      <c r="L203" s="412"/>
      <c r="M203" s="412"/>
      <c r="N203" s="253"/>
    </row>
    <row r="204" spans="1:14">
      <c r="A204" s="408"/>
      <c r="B204" s="410"/>
      <c r="C204" s="412"/>
      <c r="D204" s="412"/>
      <c r="E204" s="412"/>
      <c r="F204" s="412"/>
      <c r="G204" s="408"/>
      <c r="H204" s="408"/>
      <c r="I204" s="410"/>
      <c r="J204" s="412"/>
      <c r="K204" s="412"/>
      <c r="L204" s="412"/>
      <c r="M204" s="412"/>
      <c r="N204" s="253"/>
    </row>
    <row r="205" spans="1:14">
      <c r="A205" s="408"/>
      <c r="B205" s="410"/>
      <c r="C205" s="412"/>
      <c r="D205" s="412"/>
      <c r="E205" s="412"/>
      <c r="F205" s="412"/>
      <c r="G205" s="408"/>
      <c r="H205" s="408"/>
      <c r="I205" s="410"/>
      <c r="J205" s="412"/>
      <c r="K205" s="412"/>
      <c r="L205" s="412"/>
      <c r="M205" s="412"/>
      <c r="N205" s="253"/>
    </row>
    <row r="206" spans="1:14">
      <c r="A206" s="408"/>
      <c r="B206" s="410"/>
      <c r="C206" s="412"/>
      <c r="D206" s="412"/>
      <c r="E206" s="412"/>
      <c r="F206" s="412"/>
      <c r="G206" s="408"/>
      <c r="H206" s="408"/>
      <c r="I206" s="410"/>
      <c r="J206" s="412"/>
      <c r="K206" s="412"/>
      <c r="L206" s="412"/>
      <c r="M206" s="412"/>
      <c r="N206" s="253"/>
    </row>
    <row r="207" spans="1:14">
      <c r="A207" s="408"/>
      <c r="B207" s="410"/>
      <c r="C207" s="412"/>
      <c r="D207" s="412"/>
      <c r="E207" s="412"/>
      <c r="F207" s="412"/>
      <c r="G207" s="408"/>
      <c r="H207" s="408"/>
      <c r="I207" s="410"/>
      <c r="J207" s="412"/>
      <c r="K207" s="412"/>
      <c r="L207" s="412"/>
      <c r="M207" s="412"/>
      <c r="N207" s="253"/>
    </row>
    <row r="208" spans="1:14">
      <c r="A208" s="408"/>
      <c r="B208" s="410"/>
      <c r="C208" s="411"/>
      <c r="D208" s="411"/>
      <c r="E208" s="411"/>
      <c r="F208" s="411"/>
      <c r="G208" s="408"/>
      <c r="H208" s="408"/>
      <c r="I208" s="410"/>
      <c r="J208" s="411"/>
      <c r="K208" s="411"/>
      <c r="L208" s="411"/>
      <c r="M208" s="411"/>
      <c r="N208" s="253"/>
    </row>
    <row r="209" spans="1:14">
      <c r="A209" s="408"/>
      <c r="B209" s="410"/>
      <c r="C209" s="411"/>
      <c r="D209" s="408"/>
      <c r="E209" s="408"/>
      <c r="F209" s="408"/>
      <c r="G209" s="408"/>
      <c r="H209" s="408"/>
      <c r="I209" s="410"/>
      <c r="J209" s="411"/>
      <c r="K209" s="408"/>
      <c r="L209" s="408"/>
      <c r="M209" s="408"/>
      <c r="N209" s="253"/>
    </row>
    <row r="210" spans="1:14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</row>
    <row r="211" spans="1:14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</row>
    <row r="212" spans="1:14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</row>
    <row r="213" spans="1:14">
      <c r="A213" s="408"/>
      <c r="B213" s="409"/>
      <c r="C213" s="420"/>
      <c r="D213" s="420"/>
      <c r="E213" s="420"/>
      <c r="F213" s="408"/>
      <c r="G213" s="408"/>
      <c r="H213" s="408"/>
      <c r="I213" s="409"/>
      <c r="J213" s="420"/>
      <c r="K213" s="420"/>
      <c r="L213" s="420"/>
      <c r="M213" s="408"/>
      <c r="N213" s="253"/>
    </row>
    <row r="214" spans="1:14">
      <c r="A214" s="408"/>
      <c r="B214" s="408"/>
      <c r="C214" s="408"/>
      <c r="D214" s="408"/>
      <c r="E214" s="408"/>
      <c r="F214" s="408"/>
      <c r="G214" s="408"/>
      <c r="H214" s="408"/>
      <c r="I214" s="408"/>
      <c r="J214" s="408"/>
      <c r="K214" s="408"/>
      <c r="L214" s="408"/>
      <c r="M214" s="408"/>
      <c r="N214" s="253"/>
    </row>
    <row r="215" spans="1:14">
      <c r="A215" s="408"/>
      <c r="B215" s="408"/>
      <c r="C215" s="408"/>
      <c r="D215" s="408"/>
      <c r="E215" s="408"/>
      <c r="F215" s="408"/>
      <c r="G215" s="408"/>
      <c r="H215" s="408"/>
      <c r="I215" s="408"/>
      <c r="J215" s="408"/>
      <c r="K215" s="408"/>
      <c r="L215" s="408"/>
      <c r="M215" s="408"/>
      <c r="N215" s="253"/>
    </row>
    <row r="216" spans="1:14">
      <c r="A216" s="408"/>
      <c r="B216" s="410"/>
      <c r="C216" s="412"/>
      <c r="D216" s="412"/>
      <c r="E216" s="412"/>
      <c r="F216" s="412"/>
      <c r="G216" s="408"/>
      <c r="H216" s="408"/>
      <c r="I216" s="410"/>
      <c r="J216" s="412"/>
      <c r="K216" s="412"/>
      <c r="L216" s="412"/>
      <c r="M216" s="412"/>
      <c r="N216" s="253"/>
    </row>
    <row r="217" spans="1:14">
      <c r="A217" s="408"/>
      <c r="B217" s="410"/>
      <c r="C217" s="412"/>
      <c r="D217" s="412"/>
      <c r="E217" s="412"/>
      <c r="F217" s="412"/>
      <c r="G217" s="408"/>
      <c r="H217" s="408"/>
      <c r="I217" s="410"/>
      <c r="J217" s="412"/>
      <c r="K217" s="412"/>
      <c r="L217" s="412"/>
      <c r="M217" s="412"/>
      <c r="N217" s="253"/>
    </row>
    <row r="218" spans="1:14">
      <c r="A218" s="408"/>
      <c r="B218" s="410"/>
      <c r="C218" s="412"/>
      <c r="D218" s="412"/>
      <c r="E218" s="412"/>
      <c r="F218" s="412"/>
      <c r="G218" s="408"/>
      <c r="H218" s="408"/>
      <c r="I218" s="410"/>
      <c r="J218" s="412"/>
      <c r="K218" s="412"/>
      <c r="L218" s="412"/>
      <c r="M218" s="412"/>
      <c r="N218" s="253"/>
    </row>
    <row r="219" spans="1:14">
      <c r="A219" s="408"/>
      <c r="B219" s="410"/>
      <c r="C219" s="412"/>
      <c r="D219" s="412"/>
      <c r="E219" s="412"/>
      <c r="F219" s="412"/>
      <c r="G219" s="408"/>
      <c r="H219" s="408"/>
      <c r="I219" s="410"/>
      <c r="J219" s="412"/>
      <c r="K219" s="412"/>
      <c r="L219" s="412"/>
      <c r="M219" s="412"/>
      <c r="N219" s="253"/>
    </row>
    <row r="220" spans="1:14">
      <c r="A220" s="408"/>
      <c r="B220" s="410"/>
      <c r="C220" s="412"/>
      <c r="D220" s="412"/>
      <c r="E220" s="412"/>
      <c r="F220" s="412"/>
      <c r="G220" s="408"/>
      <c r="H220" s="408"/>
      <c r="I220" s="410"/>
      <c r="J220" s="412"/>
      <c r="K220" s="412"/>
      <c r="L220" s="412"/>
      <c r="M220" s="412"/>
      <c r="N220" s="253"/>
    </row>
    <row r="221" spans="1:14">
      <c r="A221" s="408"/>
      <c r="B221" s="410"/>
      <c r="C221" s="412"/>
      <c r="D221" s="412"/>
      <c r="E221" s="412"/>
      <c r="F221" s="412"/>
      <c r="G221" s="408"/>
      <c r="H221" s="408"/>
      <c r="I221" s="410"/>
      <c r="J221" s="412"/>
      <c r="K221" s="412"/>
      <c r="L221" s="412"/>
      <c r="M221" s="412"/>
      <c r="N221" s="253"/>
    </row>
    <row r="222" spans="1:14">
      <c r="A222" s="408"/>
      <c r="B222" s="410"/>
      <c r="C222" s="412"/>
      <c r="D222" s="412"/>
      <c r="E222" s="412"/>
      <c r="F222" s="412"/>
      <c r="G222" s="408"/>
      <c r="H222" s="408"/>
      <c r="I222" s="410"/>
      <c r="J222" s="412"/>
      <c r="K222" s="412"/>
      <c r="L222" s="412"/>
      <c r="M222" s="412"/>
      <c r="N222" s="253"/>
    </row>
    <row r="223" spans="1:14">
      <c r="A223" s="408"/>
      <c r="B223" s="410"/>
      <c r="C223" s="412"/>
      <c r="D223" s="412"/>
      <c r="E223" s="412"/>
      <c r="F223" s="412"/>
      <c r="G223" s="408"/>
      <c r="H223" s="408"/>
      <c r="I223" s="410"/>
      <c r="J223" s="412"/>
      <c r="K223" s="412"/>
      <c r="L223" s="412"/>
      <c r="M223" s="412"/>
      <c r="N223" s="253"/>
    </row>
    <row r="224" spans="1:14">
      <c r="A224" s="408"/>
      <c r="B224" s="410"/>
      <c r="C224" s="412"/>
      <c r="D224" s="412"/>
      <c r="E224" s="412"/>
      <c r="F224" s="412"/>
      <c r="G224" s="408"/>
      <c r="H224" s="408"/>
      <c r="I224" s="410"/>
      <c r="J224" s="412"/>
      <c r="K224" s="412"/>
      <c r="L224" s="412"/>
      <c r="M224" s="412"/>
      <c r="N224" s="253"/>
    </row>
    <row r="225" spans="1:14">
      <c r="A225" s="408"/>
      <c r="B225" s="410"/>
      <c r="C225" s="412"/>
      <c r="D225" s="412"/>
      <c r="E225" s="412"/>
      <c r="F225" s="412"/>
      <c r="G225" s="408"/>
      <c r="H225" s="408"/>
      <c r="I225" s="410"/>
      <c r="J225" s="412"/>
      <c r="K225" s="412"/>
      <c r="L225" s="412"/>
      <c r="M225" s="412"/>
      <c r="N225" s="253"/>
    </row>
    <row r="226" spans="1:14">
      <c r="A226" s="408"/>
      <c r="B226" s="410"/>
      <c r="C226" s="412"/>
      <c r="D226" s="412"/>
      <c r="E226" s="412"/>
      <c r="F226" s="412"/>
      <c r="G226" s="408"/>
      <c r="H226" s="408"/>
      <c r="I226" s="410"/>
      <c r="J226" s="412"/>
      <c r="K226" s="412"/>
      <c r="L226" s="412"/>
      <c r="M226" s="412"/>
      <c r="N226" s="253"/>
    </row>
    <row r="227" spans="1:14">
      <c r="A227" s="408"/>
      <c r="B227" s="410"/>
      <c r="C227" s="412"/>
      <c r="D227" s="412"/>
      <c r="E227" s="412"/>
      <c r="F227" s="412"/>
      <c r="G227" s="408"/>
      <c r="H227" s="408"/>
      <c r="I227" s="410"/>
      <c r="J227" s="412"/>
      <c r="K227" s="412"/>
      <c r="L227" s="412"/>
      <c r="M227" s="412"/>
      <c r="N227" s="253"/>
    </row>
    <row r="228" spans="1:14">
      <c r="A228" s="408"/>
      <c r="B228" s="410"/>
      <c r="C228" s="411"/>
      <c r="D228" s="411"/>
      <c r="E228" s="411"/>
      <c r="F228" s="411"/>
      <c r="G228" s="408"/>
      <c r="H228" s="408"/>
      <c r="I228" s="410"/>
      <c r="J228" s="411"/>
      <c r="K228" s="411"/>
      <c r="L228" s="411"/>
      <c r="M228" s="411"/>
      <c r="N228" s="253"/>
    </row>
    <row r="229" spans="1:14">
      <c r="A229" s="408"/>
      <c r="B229" s="410"/>
      <c r="C229" s="411"/>
      <c r="D229" s="408"/>
      <c r="E229" s="408"/>
      <c r="F229" s="408"/>
      <c r="G229" s="408"/>
      <c r="H229" s="408"/>
      <c r="I229" s="410"/>
      <c r="J229" s="411"/>
      <c r="K229" s="408"/>
      <c r="L229" s="408"/>
      <c r="M229" s="408"/>
      <c r="N229" s="253"/>
    </row>
    <row r="230" spans="1:14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</row>
    <row r="231" spans="1:14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</row>
    <row r="232" spans="1:14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</row>
    <row r="233" spans="1:14">
      <c r="A233" s="408"/>
      <c r="B233" s="409"/>
      <c r="C233" s="420"/>
      <c r="D233" s="420"/>
      <c r="E233" s="420"/>
      <c r="F233" s="408"/>
      <c r="G233" s="408"/>
      <c r="H233" s="408"/>
      <c r="I233" s="409"/>
      <c r="J233" s="420"/>
      <c r="K233" s="420"/>
      <c r="L233" s="420"/>
      <c r="M233" s="408"/>
      <c r="N233" s="253"/>
    </row>
    <row r="234" spans="1:14">
      <c r="A234" s="408"/>
      <c r="B234" s="408"/>
      <c r="C234" s="408"/>
      <c r="D234" s="408"/>
      <c r="E234" s="408"/>
      <c r="F234" s="408"/>
      <c r="G234" s="408"/>
      <c r="H234" s="408"/>
      <c r="I234" s="408"/>
      <c r="J234" s="408"/>
      <c r="K234" s="408"/>
      <c r="L234" s="408"/>
      <c r="M234" s="408"/>
      <c r="N234" s="253"/>
    </row>
    <row r="235" spans="1:14">
      <c r="A235" s="408"/>
      <c r="B235" s="408"/>
      <c r="C235" s="408"/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253"/>
    </row>
    <row r="236" spans="1:14">
      <c r="A236" s="408"/>
      <c r="B236" s="410"/>
      <c r="C236" s="412"/>
      <c r="D236" s="412"/>
      <c r="E236" s="412"/>
      <c r="F236" s="412"/>
      <c r="G236" s="408"/>
      <c r="H236" s="408"/>
      <c r="I236" s="410"/>
      <c r="J236" s="412"/>
      <c r="K236" s="412"/>
      <c r="L236" s="412"/>
      <c r="M236" s="412"/>
      <c r="N236" s="253"/>
    </row>
    <row r="237" spans="1:14">
      <c r="A237" s="408"/>
      <c r="B237" s="410"/>
      <c r="C237" s="412"/>
      <c r="D237" s="412"/>
      <c r="E237" s="412"/>
      <c r="F237" s="412"/>
      <c r="G237" s="408"/>
      <c r="H237" s="408"/>
      <c r="I237" s="410"/>
      <c r="J237" s="412"/>
      <c r="K237" s="412"/>
      <c r="L237" s="412"/>
      <c r="M237" s="412"/>
      <c r="N237" s="253"/>
    </row>
    <row r="238" spans="1:14">
      <c r="A238" s="408"/>
      <c r="B238" s="410"/>
      <c r="C238" s="412"/>
      <c r="D238" s="412"/>
      <c r="E238" s="412"/>
      <c r="F238" s="412"/>
      <c r="G238" s="408"/>
      <c r="H238" s="408"/>
      <c r="I238" s="410"/>
      <c r="J238" s="412"/>
      <c r="K238" s="412"/>
      <c r="L238" s="412"/>
      <c r="M238" s="412"/>
      <c r="N238" s="253"/>
    </row>
    <row r="239" spans="1:14">
      <c r="A239" s="408"/>
      <c r="B239" s="410"/>
      <c r="C239" s="412"/>
      <c r="D239" s="412"/>
      <c r="E239" s="412"/>
      <c r="F239" s="412"/>
      <c r="G239" s="408"/>
      <c r="H239" s="408"/>
      <c r="I239" s="410"/>
      <c r="J239" s="412"/>
      <c r="K239" s="412"/>
      <c r="L239" s="412"/>
      <c r="M239" s="412"/>
      <c r="N239" s="253"/>
    </row>
    <row r="240" spans="1:14">
      <c r="A240" s="408"/>
      <c r="B240" s="410"/>
      <c r="C240" s="412"/>
      <c r="D240" s="412"/>
      <c r="E240" s="412"/>
      <c r="F240" s="412"/>
      <c r="G240" s="408"/>
      <c r="H240" s="408"/>
      <c r="I240" s="410"/>
      <c r="J240" s="412"/>
      <c r="K240" s="412"/>
      <c r="L240" s="412"/>
      <c r="M240" s="412"/>
      <c r="N240" s="253"/>
    </row>
    <row r="241" spans="1:14">
      <c r="A241" s="408"/>
      <c r="B241" s="410"/>
      <c r="C241" s="412"/>
      <c r="D241" s="412"/>
      <c r="E241" s="412"/>
      <c r="F241" s="412"/>
      <c r="G241" s="408"/>
      <c r="H241" s="408"/>
      <c r="I241" s="410"/>
      <c r="J241" s="412"/>
      <c r="K241" s="412"/>
      <c r="L241" s="412"/>
      <c r="M241" s="412"/>
      <c r="N241" s="253"/>
    </row>
    <row r="242" spans="1:14">
      <c r="A242" s="408"/>
      <c r="B242" s="410"/>
      <c r="C242" s="412"/>
      <c r="D242" s="412"/>
      <c r="E242" s="412"/>
      <c r="F242" s="412"/>
      <c r="G242" s="408"/>
      <c r="H242" s="408"/>
      <c r="I242" s="410"/>
      <c r="J242" s="412"/>
      <c r="K242" s="412"/>
      <c r="L242" s="412"/>
      <c r="M242" s="412"/>
      <c r="N242" s="253"/>
    </row>
    <row r="243" spans="1:14">
      <c r="A243" s="408"/>
      <c r="B243" s="410"/>
      <c r="C243" s="412"/>
      <c r="D243" s="412"/>
      <c r="E243" s="412"/>
      <c r="F243" s="412"/>
      <c r="G243" s="408"/>
      <c r="H243" s="408"/>
      <c r="I243" s="410"/>
      <c r="J243" s="412"/>
      <c r="K243" s="412"/>
      <c r="L243" s="412"/>
      <c r="M243" s="412"/>
      <c r="N243" s="253"/>
    </row>
    <row r="244" spans="1:14">
      <c r="A244" s="408"/>
      <c r="B244" s="410"/>
      <c r="C244" s="412"/>
      <c r="D244" s="412"/>
      <c r="E244" s="412"/>
      <c r="F244" s="412"/>
      <c r="G244" s="408"/>
      <c r="H244" s="408"/>
      <c r="I244" s="410"/>
      <c r="J244" s="412"/>
      <c r="K244" s="412"/>
      <c r="L244" s="412"/>
      <c r="M244" s="412"/>
      <c r="N244" s="253"/>
    </row>
    <row r="245" spans="1:14">
      <c r="A245" s="408"/>
      <c r="B245" s="410"/>
      <c r="C245" s="412"/>
      <c r="D245" s="412"/>
      <c r="E245" s="412"/>
      <c r="F245" s="412"/>
      <c r="G245" s="408"/>
      <c r="H245" s="408"/>
      <c r="I245" s="410"/>
      <c r="J245" s="412"/>
      <c r="K245" s="412"/>
      <c r="L245" s="412"/>
      <c r="M245" s="412"/>
      <c r="N245" s="253"/>
    </row>
    <row r="246" spans="1:14">
      <c r="A246" s="408"/>
      <c r="B246" s="410"/>
      <c r="C246" s="412"/>
      <c r="D246" s="412"/>
      <c r="E246" s="412"/>
      <c r="F246" s="412"/>
      <c r="G246" s="408"/>
      <c r="H246" s="408"/>
      <c r="I246" s="410"/>
      <c r="J246" s="412"/>
      <c r="K246" s="412"/>
      <c r="L246" s="412"/>
      <c r="M246" s="412"/>
      <c r="N246" s="253"/>
    </row>
    <row r="247" spans="1:14">
      <c r="A247" s="408"/>
      <c r="B247" s="410"/>
      <c r="C247" s="412"/>
      <c r="D247" s="412"/>
      <c r="E247" s="412"/>
      <c r="F247" s="412"/>
      <c r="G247" s="408"/>
      <c r="H247" s="408"/>
      <c r="I247" s="410"/>
      <c r="J247" s="412"/>
      <c r="K247" s="412"/>
      <c r="L247" s="412"/>
      <c r="M247" s="412"/>
      <c r="N247" s="253"/>
    </row>
    <row r="248" spans="1:14">
      <c r="A248" s="408"/>
      <c r="B248" s="410"/>
      <c r="C248" s="411"/>
      <c r="D248" s="411"/>
      <c r="E248" s="411"/>
      <c r="F248" s="411"/>
      <c r="G248" s="408"/>
      <c r="H248" s="408"/>
      <c r="I248" s="410"/>
      <c r="J248" s="411"/>
      <c r="K248" s="411"/>
      <c r="L248" s="411"/>
      <c r="M248" s="411"/>
      <c r="N248" s="253"/>
    </row>
    <row r="249" spans="1:14">
      <c r="A249" s="408"/>
      <c r="B249" s="410"/>
      <c r="C249" s="411"/>
      <c r="D249" s="408"/>
      <c r="E249" s="408"/>
      <c r="F249" s="408"/>
      <c r="G249" s="408"/>
      <c r="H249" s="408"/>
      <c r="I249" s="410"/>
      <c r="J249" s="411"/>
      <c r="K249" s="408"/>
      <c r="L249" s="408"/>
      <c r="M249" s="408"/>
      <c r="N249" s="253"/>
    </row>
    <row r="250" spans="1:14">
      <c r="A250" s="211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</row>
    <row r="251" spans="1:14">
      <c r="A251" s="211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</row>
    <row r="252" spans="1:14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</row>
    <row r="253" spans="1:14">
      <c r="A253" s="408"/>
      <c r="B253" s="409"/>
      <c r="C253" s="420"/>
      <c r="D253" s="420"/>
      <c r="E253" s="420"/>
      <c r="F253" s="408"/>
      <c r="G253" s="408"/>
      <c r="H253" s="408"/>
      <c r="I253" s="409"/>
      <c r="J253" s="420"/>
      <c r="K253" s="420"/>
      <c r="L253" s="420"/>
      <c r="M253" s="408"/>
      <c r="N253" s="253"/>
    </row>
    <row r="254" spans="1:14">
      <c r="A254" s="408"/>
      <c r="B254" s="408"/>
      <c r="C254" s="408"/>
      <c r="D254" s="408"/>
      <c r="E254" s="408"/>
      <c r="F254" s="408"/>
      <c r="G254" s="408"/>
      <c r="H254" s="408"/>
      <c r="I254" s="408"/>
      <c r="J254" s="408"/>
      <c r="K254" s="408"/>
      <c r="L254" s="408"/>
      <c r="M254" s="408"/>
      <c r="N254" s="253"/>
    </row>
    <row r="255" spans="1:14">
      <c r="A255" s="408"/>
      <c r="B255" s="408"/>
      <c r="C255" s="408"/>
      <c r="D255" s="408"/>
      <c r="E255" s="408"/>
      <c r="F255" s="408"/>
      <c r="G255" s="408"/>
      <c r="H255" s="408"/>
      <c r="I255" s="408"/>
      <c r="J255" s="408"/>
      <c r="K255" s="408"/>
      <c r="L255" s="408"/>
      <c r="M255" s="408"/>
      <c r="N255" s="253"/>
    </row>
    <row r="256" spans="1:14">
      <c r="A256" s="408"/>
      <c r="B256" s="410"/>
      <c r="C256" s="412"/>
      <c r="D256" s="412"/>
      <c r="E256" s="412"/>
      <c r="F256" s="412"/>
      <c r="G256" s="408"/>
      <c r="H256" s="408"/>
      <c r="I256" s="410"/>
      <c r="J256" s="412"/>
      <c r="K256" s="412"/>
      <c r="L256" s="412"/>
      <c r="M256" s="412"/>
      <c r="N256" s="253"/>
    </row>
    <row r="257" spans="1:14">
      <c r="A257" s="408"/>
      <c r="B257" s="410"/>
      <c r="C257" s="412"/>
      <c r="D257" s="412"/>
      <c r="E257" s="412"/>
      <c r="F257" s="412"/>
      <c r="G257" s="408"/>
      <c r="H257" s="408"/>
      <c r="I257" s="410"/>
      <c r="J257" s="412"/>
      <c r="K257" s="412"/>
      <c r="L257" s="412"/>
      <c r="M257" s="412"/>
      <c r="N257" s="253"/>
    </row>
    <row r="258" spans="1:14">
      <c r="A258" s="408"/>
      <c r="B258" s="410"/>
      <c r="C258" s="412"/>
      <c r="D258" s="412"/>
      <c r="E258" s="412"/>
      <c r="F258" s="412"/>
      <c r="G258" s="408"/>
      <c r="H258" s="408"/>
      <c r="I258" s="410"/>
      <c r="J258" s="412"/>
      <c r="K258" s="412"/>
      <c r="L258" s="412"/>
      <c r="M258" s="412"/>
      <c r="N258" s="253"/>
    </row>
    <row r="259" spans="1:14">
      <c r="A259" s="408"/>
      <c r="B259" s="410"/>
      <c r="C259" s="412"/>
      <c r="D259" s="412"/>
      <c r="E259" s="412"/>
      <c r="F259" s="412"/>
      <c r="G259" s="408"/>
      <c r="H259" s="408"/>
      <c r="I259" s="410"/>
      <c r="J259" s="412"/>
      <c r="K259" s="412"/>
      <c r="L259" s="412"/>
      <c r="M259" s="412"/>
      <c r="N259" s="253"/>
    </row>
    <row r="260" spans="1:14">
      <c r="A260" s="408"/>
      <c r="B260" s="410"/>
      <c r="C260" s="412"/>
      <c r="D260" s="412"/>
      <c r="E260" s="412"/>
      <c r="F260" s="412"/>
      <c r="G260" s="408"/>
      <c r="H260" s="408"/>
      <c r="I260" s="410"/>
      <c r="J260" s="412"/>
      <c r="K260" s="412"/>
      <c r="L260" s="412"/>
      <c r="M260" s="412"/>
      <c r="N260" s="253"/>
    </row>
    <row r="261" spans="1:14">
      <c r="A261" s="408"/>
      <c r="B261" s="410"/>
      <c r="C261" s="412"/>
      <c r="D261" s="412"/>
      <c r="E261" s="412"/>
      <c r="F261" s="412"/>
      <c r="G261" s="408"/>
      <c r="H261" s="408"/>
      <c r="I261" s="410"/>
      <c r="J261" s="412"/>
      <c r="K261" s="412"/>
      <c r="L261" s="412"/>
      <c r="M261" s="412"/>
      <c r="N261" s="253"/>
    </row>
    <row r="262" spans="1:14">
      <c r="A262" s="408"/>
      <c r="B262" s="410"/>
      <c r="C262" s="412"/>
      <c r="D262" s="412"/>
      <c r="E262" s="412"/>
      <c r="F262" s="412"/>
      <c r="G262" s="408"/>
      <c r="H262" s="408"/>
      <c r="I262" s="410"/>
      <c r="J262" s="412"/>
      <c r="K262" s="412"/>
      <c r="L262" s="412"/>
      <c r="M262" s="412"/>
      <c r="N262" s="253"/>
    </row>
    <row r="263" spans="1:14">
      <c r="A263" s="408"/>
      <c r="B263" s="410"/>
      <c r="C263" s="412"/>
      <c r="D263" s="412"/>
      <c r="E263" s="412"/>
      <c r="F263" s="412"/>
      <c r="G263" s="408"/>
      <c r="H263" s="408"/>
      <c r="I263" s="410"/>
      <c r="J263" s="412"/>
      <c r="K263" s="412"/>
      <c r="L263" s="412"/>
      <c r="M263" s="412"/>
      <c r="N263" s="253"/>
    </row>
    <row r="264" spans="1:14">
      <c r="A264" s="408"/>
      <c r="B264" s="410"/>
      <c r="C264" s="412"/>
      <c r="D264" s="412"/>
      <c r="E264" s="412"/>
      <c r="F264" s="412"/>
      <c r="G264" s="408"/>
      <c r="H264" s="408"/>
      <c r="I264" s="410"/>
      <c r="J264" s="412"/>
      <c r="K264" s="412"/>
      <c r="L264" s="412"/>
      <c r="M264" s="412"/>
      <c r="N264" s="253"/>
    </row>
    <row r="265" spans="1:14">
      <c r="A265" s="408"/>
      <c r="B265" s="410"/>
      <c r="C265" s="412"/>
      <c r="D265" s="412"/>
      <c r="E265" s="412"/>
      <c r="F265" s="412"/>
      <c r="G265" s="408"/>
      <c r="H265" s="408"/>
      <c r="I265" s="410"/>
      <c r="J265" s="412"/>
      <c r="K265" s="412"/>
      <c r="L265" s="412"/>
      <c r="M265" s="412"/>
      <c r="N265" s="253"/>
    </row>
    <row r="266" spans="1:14">
      <c r="A266" s="408"/>
      <c r="B266" s="410"/>
      <c r="C266" s="412"/>
      <c r="D266" s="412"/>
      <c r="E266" s="412"/>
      <c r="F266" s="412"/>
      <c r="G266" s="408"/>
      <c r="H266" s="408"/>
      <c r="I266" s="410"/>
      <c r="J266" s="412"/>
      <c r="K266" s="412"/>
      <c r="L266" s="412"/>
      <c r="M266" s="412"/>
      <c r="N266" s="253"/>
    </row>
    <row r="267" spans="1:14">
      <c r="A267" s="408"/>
      <c r="B267" s="410"/>
      <c r="C267" s="412"/>
      <c r="D267" s="412"/>
      <c r="E267" s="412"/>
      <c r="F267" s="412"/>
      <c r="G267" s="408"/>
      <c r="H267" s="408"/>
      <c r="I267" s="410"/>
      <c r="J267" s="412"/>
      <c r="K267" s="412"/>
      <c r="L267" s="412"/>
      <c r="M267" s="412"/>
      <c r="N267" s="253"/>
    </row>
    <row r="268" spans="1:14">
      <c r="A268" s="408"/>
      <c r="B268" s="410"/>
      <c r="C268" s="411"/>
      <c r="D268" s="411"/>
      <c r="E268" s="411"/>
      <c r="F268" s="411"/>
      <c r="G268" s="408"/>
      <c r="H268" s="408"/>
      <c r="I268" s="410"/>
      <c r="J268" s="411"/>
      <c r="K268" s="411"/>
      <c r="L268" s="411"/>
      <c r="M268" s="411"/>
      <c r="N268" s="253"/>
    </row>
    <row r="269" spans="1:14">
      <c r="A269" s="408"/>
      <c r="B269" s="410"/>
      <c r="C269" s="411"/>
      <c r="D269" s="408"/>
      <c r="E269" s="408"/>
      <c r="F269" s="408"/>
      <c r="G269" s="408"/>
      <c r="H269" s="408"/>
      <c r="I269" s="410"/>
      <c r="J269" s="411"/>
      <c r="K269" s="408"/>
      <c r="L269" s="408"/>
      <c r="M269" s="408"/>
      <c r="N269" s="253"/>
    </row>
    <row r="270" spans="1:14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</row>
    <row r="271" spans="1:14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</row>
    <row r="272" spans="1:14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</row>
    <row r="273" spans="1:14">
      <c r="A273" s="408"/>
      <c r="B273" s="409"/>
      <c r="C273" s="420"/>
      <c r="D273" s="420"/>
      <c r="E273" s="420"/>
      <c r="F273" s="408"/>
      <c r="G273" s="408"/>
      <c r="H273" s="408"/>
      <c r="I273" s="409"/>
      <c r="J273" s="420"/>
      <c r="K273" s="420"/>
      <c r="L273" s="420"/>
      <c r="M273" s="408"/>
      <c r="N273" s="253"/>
    </row>
    <row r="274" spans="1:14">
      <c r="A274" s="408"/>
      <c r="B274" s="408"/>
      <c r="C274" s="408"/>
      <c r="D274" s="408"/>
      <c r="E274" s="408"/>
      <c r="F274" s="408"/>
      <c r="G274" s="408"/>
      <c r="H274" s="408"/>
      <c r="I274" s="408"/>
      <c r="J274" s="408"/>
      <c r="K274" s="408"/>
      <c r="L274" s="408"/>
      <c r="M274" s="408"/>
      <c r="N274" s="253"/>
    </row>
    <row r="275" spans="1:14">
      <c r="A275" s="408"/>
      <c r="B275" s="408"/>
      <c r="C275" s="408"/>
      <c r="D275" s="408"/>
      <c r="E275" s="408"/>
      <c r="F275" s="408"/>
      <c r="G275" s="408"/>
      <c r="H275" s="408"/>
      <c r="I275" s="408"/>
      <c r="J275" s="408"/>
      <c r="K275" s="408"/>
      <c r="L275" s="408"/>
      <c r="M275" s="408"/>
      <c r="N275" s="253"/>
    </row>
    <row r="276" spans="1:14">
      <c r="A276" s="408"/>
      <c r="B276" s="410"/>
      <c r="C276" s="412"/>
      <c r="D276" s="412"/>
      <c r="E276" s="412"/>
      <c r="F276" s="412"/>
      <c r="G276" s="408"/>
      <c r="H276" s="408"/>
      <c r="I276" s="410"/>
      <c r="J276" s="412"/>
      <c r="K276" s="412"/>
      <c r="L276" s="412"/>
      <c r="M276" s="412"/>
      <c r="N276" s="253"/>
    </row>
    <row r="277" spans="1:14">
      <c r="A277" s="408"/>
      <c r="B277" s="410"/>
      <c r="C277" s="412"/>
      <c r="D277" s="412"/>
      <c r="E277" s="412"/>
      <c r="F277" s="412"/>
      <c r="G277" s="408"/>
      <c r="H277" s="408"/>
      <c r="I277" s="410"/>
      <c r="J277" s="412"/>
      <c r="K277" s="412"/>
      <c r="L277" s="412"/>
      <c r="M277" s="412"/>
      <c r="N277" s="253"/>
    </row>
    <row r="278" spans="1:14">
      <c r="A278" s="408"/>
      <c r="B278" s="410"/>
      <c r="C278" s="412"/>
      <c r="D278" s="412"/>
      <c r="E278" s="412"/>
      <c r="F278" s="412"/>
      <c r="G278" s="408"/>
      <c r="H278" s="408"/>
      <c r="I278" s="410"/>
      <c r="J278" s="412"/>
      <c r="K278" s="412"/>
      <c r="L278" s="412"/>
      <c r="M278" s="412"/>
      <c r="N278" s="253"/>
    </row>
    <row r="279" spans="1:14">
      <c r="A279" s="408"/>
      <c r="B279" s="410"/>
      <c r="C279" s="412"/>
      <c r="D279" s="412"/>
      <c r="E279" s="412"/>
      <c r="F279" s="412"/>
      <c r="G279" s="408"/>
      <c r="H279" s="408"/>
      <c r="I279" s="410"/>
      <c r="J279" s="412"/>
      <c r="K279" s="412"/>
      <c r="L279" s="412"/>
      <c r="M279" s="412"/>
      <c r="N279" s="253"/>
    </row>
    <row r="280" spans="1:14">
      <c r="A280" s="408"/>
      <c r="B280" s="410"/>
      <c r="C280" s="412"/>
      <c r="D280" s="412"/>
      <c r="E280" s="412"/>
      <c r="F280" s="412"/>
      <c r="G280" s="408"/>
      <c r="H280" s="408"/>
      <c r="I280" s="410"/>
      <c r="J280" s="412"/>
      <c r="K280" s="412"/>
      <c r="L280" s="412"/>
      <c r="M280" s="412"/>
      <c r="N280" s="253"/>
    </row>
    <row r="281" spans="1:14">
      <c r="A281" s="408"/>
      <c r="B281" s="410"/>
      <c r="C281" s="412"/>
      <c r="D281" s="412"/>
      <c r="E281" s="412"/>
      <c r="F281" s="412"/>
      <c r="G281" s="408"/>
      <c r="H281" s="408"/>
      <c r="I281" s="410"/>
      <c r="J281" s="412"/>
      <c r="K281" s="412"/>
      <c r="L281" s="412"/>
      <c r="M281" s="412"/>
      <c r="N281" s="253"/>
    </row>
    <row r="282" spans="1:14">
      <c r="A282" s="408"/>
      <c r="B282" s="410"/>
      <c r="C282" s="412"/>
      <c r="D282" s="412"/>
      <c r="E282" s="412"/>
      <c r="F282" s="412"/>
      <c r="G282" s="408"/>
      <c r="H282" s="408"/>
      <c r="I282" s="410"/>
      <c r="J282" s="412"/>
      <c r="K282" s="412"/>
      <c r="L282" s="412"/>
      <c r="M282" s="412"/>
      <c r="N282" s="253"/>
    </row>
    <row r="283" spans="1:14">
      <c r="A283" s="408"/>
      <c r="B283" s="410"/>
      <c r="C283" s="412"/>
      <c r="D283" s="412"/>
      <c r="E283" s="412"/>
      <c r="F283" s="412"/>
      <c r="G283" s="408"/>
      <c r="H283" s="408"/>
      <c r="I283" s="410"/>
      <c r="J283" s="412"/>
      <c r="K283" s="412"/>
      <c r="L283" s="412"/>
      <c r="M283" s="412"/>
      <c r="N283" s="253"/>
    </row>
    <row r="284" spans="1:14">
      <c r="A284" s="408"/>
      <c r="B284" s="410"/>
      <c r="C284" s="412"/>
      <c r="D284" s="412"/>
      <c r="E284" s="412"/>
      <c r="F284" s="412"/>
      <c r="G284" s="408"/>
      <c r="H284" s="408"/>
      <c r="I284" s="410"/>
      <c r="J284" s="412"/>
      <c r="K284" s="412"/>
      <c r="L284" s="412"/>
      <c r="M284" s="412"/>
      <c r="N284" s="253"/>
    </row>
    <row r="285" spans="1:14">
      <c r="A285" s="408"/>
      <c r="B285" s="410"/>
      <c r="C285" s="412"/>
      <c r="D285" s="412"/>
      <c r="E285" s="412"/>
      <c r="F285" s="412"/>
      <c r="G285" s="408"/>
      <c r="H285" s="408"/>
      <c r="I285" s="410"/>
      <c r="J285" s="412"/>
      <c r="K285" s="412"/>
      <c r="L285" s="412"/>
      <c r="M285" s="412"/>
      <c r="N285" s="253"/>
    </row>
    <row r="286" spans="1:14">
      <c r="A286" s="408"/>
      <c r="B286" s="410"/>
      <c r="C286" s="412"/>
      <c r="D286" s="412"/>
      <c r="E286" s="412"/>
      <c r="F286" s="412"/>
      <c r="G286" s="408"/>
      <c r="H286" s="408"/>
      <c r="I286" s="410"/>
      <c r="J286" s="412"/>
      <c r="K286" s="412"/>
      <c r="L286" s="412"/>
      <c r="M286" s="412"/>
      <c r="N286" s="253"/>
    </row>
    <row r="287" spans="1:14">
      <c r="A287" s="408"/>
      <c r="B287" s="410"/>
      <c r="C287" s="412"/>
      <c r="D287" s="412"/>
      <c r="E287" s="412"/>
      <c r="F287" s="412"/>
      <c r="G287" s="408"/>
      <c r="H287" s="408"/>
      <c r="I287" s="410"/>
      <c r="J287" s="412"/>
      <c r="K287" s="412"/>
      <c r="L287" s="412"/>
      <c r="M287" s="412"/>
      <c r="N287" s="253"/>
    </row>
    <row r="288" spans="1:14">
      <c r="A288" s="408"/>
      <c r="B288" s="410"/>
      <c r="C288" s="411"/>
      <c r="D288" s="411"/>
      <c r="E288" s="411"/>
      <c r="F288" s="411"/>
      <c r="G288" s="408"/>
      <c r="H288" s="408"/>
      <c r="I288" s="410"/>
      <c r="J288" s="411"/>
      <c r="K288" s="411"/>
      <c r="L288" s="411"/>
      <c r="M288" s="411"/>
      <c r="N288" s="253"/>
    </row>
    <row r="289" spans="1:14">
      <c r="A289" s="408"/>
      <c r="B289" s="410"/>
      <c r="C289" s="411"/>
      <c r="D289" s="408"/>
      <c r="E289" s="408"/>
      <c r="F289" s="408"/>
      <c r="G289" s="408"/>
      <c r="H289" s="408"/>
      <c r="I289" s="410"/>
      <c r="J289" s="411"/>
      <c r="K289" s="408"/>
      <c r="L289" s="408"/>
      <c r="M289" s="408"/>
      <c r="N289" s="253"/>
    </row>
    <row r="290" spans="1:14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</row>
    <row r="291" spans="1:14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</row>
    <row r="292" spans="1:14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</row>
    <row r="293" spans="1:14">
      <c r="A293" s="408"/>
      <c r="B293" s="409"/>
      <c r="C293" s="420"/>
      <c r="D293" s="420"/>
      <c r="E293" s="420"/>
      <c r="F293" s="408"/>
      <c r="G293" s="408"/>
      <c r="H293" s="408"/>
      <c r="I293" s="409"/>
      <c r="J293" s="420"/>
      <c r="K293" s="420"/>
      <c r="L293" s="420"/>
      <c r="M293" s="408"/>
      <c r="N293" s="253"/>
    </row>
    <row r="294" spans="1:14">
      <c r="A294" s="408"/>
      <c r="B294" s="408"/>
      <c r="C294" s="408"/>
      <c r="D294" s="408"/>
      <c r="E294" s="408"/>
      <c r="F294" s="408"/>
      <c r="G294" s="408"/>
      <c r="H294" s="408"/>
      <c r="I294" s="408"/>
      <c r="J294" s="408"/>
      <c r="K294" s="408"/>
      <c r="L294" s="408"/>
      <c r="M294" s="408"/>
      <c r="N294" s="253"/>
    </row>
    <row r="295" spans="1:14">
      <c r="A295" s="408"/>
      <c r="B295" s="408"/>
      <c r="C295" s="408"/>
      <c r="D295" s="408"/>
      <c r="E295" s="408"/>
      <c r="F295" s="408"/>
      <c r="G295" s="408"/>
      <c r="H295" s="408"/>
      <c r="I295" s="408"/>
      <c r="J295" s="408"/>
      <c r="K295" s="408"/>
      <c r="L295" s="408"/>
      <c r="M295" s="408"/>
      <c r="N295" s="253"/>
    </row>
    <row r="296" spans="1:14">
      <c r="A296" s="408"/>
      <c r="B296" s="410"/>
      <c r="C296" s="412"/>
      <c r="D296" s="412"/>
      <c r="E296" s="412"/>
      <c r="F296" s="412"/>
      <c r="G296" s="408"/>
      <c r="H296" s="408"/>
      <c r="I296" s="410"/>
      <c r="J296" s="412"/>
      <c r="K296" s="412"/>
      <c r="L296" s="412"/>
      <c r="M296" s="412"/>
      <c r="N296" s="253"/>
    </row>
    <row r="297" spans="1:14">
      <c r="A297" s="408"/>
      <c r="B297" s="410"/>
      <c r="C297" s="412"/>
      <c r="D297" s="412"/>
      <c r="E297" s="412"/>
      <c r="F297" s="412"/>
      <c r="G297" s="408"/>
      <c r="H297" s="408"/>
      <c r="I297" s="410"/>
      <c r="J297" s="412"/>
      <c r="K297" s="412"/>
      <c r="L297" s="412"/>
      <c r="M297" s="412"/>
      <c r="N297" s="253"/>
    </row>
    <row r="298" spans="1:14">
      <c r="A298" s="408"/>
      <c r="B298" s="410"/>
      <c r="C298" s="412"/>
      <c r="D298" s="412"/>
      <c r="E298" s="412"/>
      <c r="F298" s="412"/>
      <c r="G298" s="408"/>
      <c r="H298" s="408"/>
      <c r="I298" s="410"/>
      <c r="J298" s="412"/>
      <c r="K298" s="412"/>
      <c r="L298" s="412"/>
      <c r="M298" s="412"/>
      <c r="N298" s="253"/>
    </row>
    <row r="299" spans="1:14">
      <c r="A299" s="408"/>
      <c r="B299" s="410"/>
      <c r="C299" s="412"/>
      <c r="D299" s="412"/>
      <c r="E299" s="412"/>
      <c r="F299" s="412"/>
      <c r="G299" s="408"/>
      <c r="H299" s="408"/>
      <c r="I299" s="410"/>
      <c r="J299" s="412"/>
      <c r="K299" s="412"/>
      <c r="L299" s="412"/>
      <c r="M299" s="412"/>
      <c r="N299" s="253"/>
    </row>
    <row r="300" spans="1:14">
      <c r="A300" s="408"/>
      <c r="B300" s="410"/>
      <c r="C300" s="412"/>
      <c r="D300" s="412"/>
      <c r="E300" s="412"/>
      <c r="F300" s="412"/>
      <c r="G300" s="408"/>
      <c r="H300" s="408"/>
      <c r="I300" s="410"/>
      <c r="J300" s="412"/>
      <c r="K300" s="412"/>
      <c r="L300" s="412"/>
      <c r="M300" s="412"/>
      <c r="N300" s="253"/>
    </row>
    <row r="301" spans="1:14">
      <c r="A301" s="408"/>
      <c r="B301" s="410"/>
      <c r="C301" s="412"/>
      <c r="D301" s="412"/>
      <c r="E301" s="412"/>
      <c r="F301" s="412"/>
      <c r="G301" s="408"/>
      <c r="H301" s="408"/>
      <c r="I301" s="410"/>
      <c r="J301" s="412"/>
      <c r="K301" s="412"/>
      <c r="L301" s="412"/>
      <c r="M301" s="412"/>
      <c r="N301" s="253"/>
    </row>
    <row r="302" spans="1:14">
      <c r="A302" s="408"/>
      <c r="B302" s="410"/>
      <c r="C302" s="412"/>
      <c r="D302" s="412"/>
      <c r="E302" s="412"/>
      <c r="F302" s="412"/>
      <c r="G302" s="408"/>
      <c r="H302" s="408"/>
      <c r="I302" s="410"/>
      <c r="J302" s="412"/>
      <c r="K302" s="412"/>
      <c r="L302" s="412"/>
      <c r="M302" s="412"/>
      <c r="N302" s="253"/>
    </row>
    <row r="303" spans="1:14">
      <c r="A303" s="408"/>
      <c r="B303" s="410"/>
      <c r="C303" s="412"/>
      <c r="D303" s="412"/>
      <c r="E303" s="412"/>
      <c r="F303" s="412"/>
      <c r="G303" s="408"/>
      <c r="H303" s="408"/>
      <c r="I303" s="410"/>
      <c r="J303" s="412"/>
      <c r="K303" s="412"/>
      <c r="L303" s="412"/>
      <c r="M303" s="412"/>
      <c r="N303" s="253"/>
    </row>
    <row r="304" spans="1:14">
      <c r="A304" s="408"/>
      <c r="B304" s="410"/>
      <c r="C304" s="412"/>
      <c r="D304" s="412"/>
      <c r="E304" s="412"/>
      <c r="F304" s="412"/>
      <c r="G304" s="408"/>
      <c r="H304" s="408"/>
      <c r="I304" s="410"/>
      <c r="J304" s="412"/>
      <c r="K304" s="412"/>
      <c r="L304" s="412"/>
      <c r="M304" s="412"/>
      <c r="N304" s="253"/>
    </row>
    <row r="305" spans="1:14">
      <c r="A305" s="408"/>
      <c r="B305" s="410"/>
      <c r="C305" s="412"/>
      <c r="D305" s="412"/>
      <c r="E305" s="412"/>
      <c r="F305" s="412"/>
      <c r="G305" s="408"/>
      <c r="H305" s="408"/>
      <c r="I305" s="410"/>
      <c r="J305" s="412"/>
      <c r="K305" s="412"/>
      <c r="L305" s="412"/>
      <c r="M305" s="412"/>
      <c r="N305" s="253"/>
    </row>
    <row r="306" spans="1:14">
      <c r="A306" s="408"/>
      <c r="B306" s="410"/>
      <c r="C306" s="412"/>
      <c r="D306" s="412"/>
      <c r="E306" s="412"/>
      <c r="F306" s="412"/>
      <c r="G306" s="408"/>
      <c r="H306" s="408"/>
      <c r="I306" s="410"/>
      <c r="J306" s="412"/>
      <c r="K306" s="412"/>
      <c r="L306" s="412"/>
      <c r="M306" s="412"/>
      <c r="N306" s="253"/>
    </row>
    <row r="307" spans="1:14">
      <c r="A307" s="408"/>
      <c r="B307" s="410"/>
      <c r="C307" s="412"/>
      <c r="D307" s="412"/>
      <c r="E307" s="412"/>
      <c r="F307" s="412"/>
      <c r="G307" s="408"/>
      <c r="H307" s="408"/>
      <c r="I307" s="410"/>
      <c r="J307" s="412"/>
      <c r="K307" s="412"/>
      <c r="L307" s="412"/>
      <c r="M307" s="412"/>
      <c r="N307" s="253"/>
    </row>
    <row r="308" spans="1:14">
      <c r="A308" s="408"/>
      <c r="B308" s="410"/>
      <c r="C308" s="411"/>
      <c r="D308" s="411"/>
      <c r="E308" s="411"/>
      <c r="F308" s="411"/>
      <c r="G308" s="408"/>
      <c r="H308" s="408"/>
      <c r="I308" s="410"/>
      <c r="J308" s="411"/>
      <c r="K308" s="411"/>
      <c r="L308" s="411"/>
      <c r="M308" s="411"/>
      <c r="N308" s="253"/>
    </row>
    <row r="309" spans="1:14">
      <c r="A309" s="408"/>
      <c r="B309" s="410"/>
      <c r="C309" s="411"/>
      <c r="D309" s="408"/>
      <c r="E309" s="408"/>
      <c r="F309" s="408"/>
      <c r="G309" s="408"/>
      <c r="H309" s="408"/>
      <c r="I309" s="410"/>
      <c r="J309" s="411"/>
      <c r="K309" s="408"/>
      <c r="L309" s="408"/>
      <c r="M309" s="408"/>
      <c r="N309" s="253"/>
    </row>
    <row r="310" spans="1:14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</row>
    <row r="311" spans="1:14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</row>
    <row r="312" spans="1:14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</row>
    <row r="313" spans="1:14">
      <c r="A313" s="408"/>
      <c r="B313" s="409"/>
      <c r="C313" s="420"/>
      <c r="D313" s="420"/>
      <c r="E313" s="420"/>
      <c r="F313" s="408"/>
      <c r="G313" s="408"/>
      <c r="H313" s="408"/>
      <c r="I313" s="409"/>
      <c r="J313" s="420"/>
      <c r="K313" s="420"/>
      <c r="L313" s="420"/>
      <c r="M313" s="408"/>
      <c r="N313" s="253"/>
    </row>
    <row r="314" spans="1:14">
      <c r="A314" s="408"/>
      <c r="B314" s="408"/>
      <c r="C314" s="408"/>
      <c r="D314" s="408"/>
      <c r="E314" s="408"/>
      <c r="F314" s="408"/>
      <c r="G314" s="408"/>
      <c r="H314" s="408"/>
      <c r="I314" s="408"/>
      <c r="J314" s="408"/>
      <c r="K314" s="408"/>
      <c r="L314" s="408"/>
      <c r="M314" s="408"/>
      <c r="N314" s="253"/>
    </row>
    <row r="315" spans="1:14">
      <c r="A315" s="408"/>
      <c r="B315" s="408"/>
      <c r="C315" s="408"/>
      <c r="D315" s="408"/>
      <c r="E315" s="408"/>
      <c r="F315" s="408"/>
      <c r="G315" s="408"/>
      <c r="H315" s="408"/>
      <c r="I315" s="408"/>
      <c r="J315" s="408"/>
      <c r="K315" s="408"/>
      <c r="L315" s="408"/>
      <c r="M315" s="408"/>
      <c r="N315" s="253"/>
    </row>
    <row r="316" spans="1:14">
      <c r="A316" s="408"/>
      <c r="B316" s="410"/>
      <c r="C316" s="412"/>
      <c r="D316" s="412"/>
      <c r="E316" s="412"/>
      <c r="F316" s="412"/>
      <c r="G316" s="408"/>
      <c r="H316" s="408"/>
      <c r="I316" s="410"/>
      <c r="J316" s="412"/>
      <c r="K316" s="412"/>
      <c r="L316" s="412"/>
      <c r="M316" s="412"/>
      <c r="N316" s="253"/>
    </row>
    <row r="317" spans="1:14">
      <c r="A317" s="408"/>
      <c r="B317" s="410"/>
      <c r="C317" s="412"/>
      <c r="D317" s="412"/>
      <c r="E317" s="412"/>
      <c r="F317" s="412"/>
      <c r="G317" s="408"/>
      <c r="H317" s="408"/>
      <c r="I317" s="410"/>
      <c r="J317" s="412"/>
      <c r="K317" s="412"/>
      <c r="L317" s="412"/>
      <c r="M317" s="412"/>
      <c r="N317" s="253"/>
    </row>
    <row r="318" spans="1:14">
      <c r="A318" s="408"/>
      <c r="B318" s="410"/>
      <c r="C318" s="412"/>
      <c r="D318" s="412"/>
      <c r="E318" s="412"/>
      <c r="F318" s="412"/>
      <c r="G318" s="408"/>
      <c r="H318" s="408"/>
      <c r="I318" s="410"/>
      <c r="J318" s="412"/>
      <c r="K318" s="412"/>
      <c r="L318" s="412"/>
      <c r="M318" s="412"/>
      <c r="N318" s="253"/>
    </row>
    <row r="319" spans="1:14">
      <c r="A319" s="408"/>
      <c r="B319" s="410"/>
      <c r="C319" s="412"/>
      <c r="D319" s="412"/>
      <c r="E319" s="412"/>
      <c r="F319" s="412"/>
      <c r="G319" s="408"/>
      <c r="H319" s="408"/>
      <c r="I319" s="410"/>
      <c r="J319" s="412"/>
      <c r="K319" s="412"/>
      <c r="L319" s="412"/>
      <c r="M319" s="412"/>
      <c r="N319" s="253"/>
    </row>
    <row r="320" spans="1:14">
      <c r="A320" s="408"/>
      <c r="B320" s="410"/>
      <c r="C320" s="412"/>
      <c r="D320" s="412"/>
      <c r="E320" s="412"/>
      <c r="F320" s="412"/>
      <c r="G320" s="408"/>
      <c r="H320" s="408"/>
      <c r="I320" s="410"/>
      <c r="J320" s="412"/>
      <c r="K320" s="412"/>
      <c r="L320" s="412"/>
      <c r="M320" s="412"/>
      <c r="N320" s="253"/>
    </row>
    <row r="321" spans="1:14">
      <c r="A321" s="408"/>
      <c r="B321" s="410"/>
      <c r="C321" s="412"/>
      <c r="D321" s="412"/>
      <c r="E321" s="412"/>
      <c r="F321" s="412"/>
      <c r="G321" s="408"/>
      <c r="H321" s="408"/>
      <c r="I321" s="410"/>
      <c r="J321" s="412"/>
      <c r="K321" s="412"/>
      <c r="L321" s="412"/>
      <c r="M321" s="412"/>
      <c r="N321" s="253"/>
    </row>
    <row r="322" spans="1:14">
      <c r="A322" s="408"/>
      <c r="B322" s="410"/>
      <c r="C322" s="412"/>
      <c r="D322" s="412"/>
      <c r="E322" s="412"/>
      <c r="F322" s="412"/>
      <c r="G322" s="408"/>
      <c r="H322" s="408"/>
      <c r="I322" s="410"/>
      <c r="J322" s="412"/>
      <c r="K322" s="412"/>
      <c r="L322" s="412"/>
      <c r="M322" s="412"/>
      <c r="N322" s="253"/>
    </row>
    <row r="323" spans="1:14">
      <c r="A323" s="408"/>
      <c r="B323" s="410"/>
      <c r="C323" s="412"/>
      <c r="D323" s="412"/>
      <c r="E323" s="412"/>
      <c r="F323" s="412"/>
      <c r="G323" s="408"/>
      <c r="H323" s="408"/>
      <c r="I323" s="410"/>
      <c r="J323" s="412"/>
      <c r="K323" s="412"/>
      <c r="L323" s="412"/>
      <c r="M323" s="412"/>
      <c r="N323" s="253"/>
    </row>
    <row r="324" spans="1:14">
      <c r="A324" s="408"/>
      <c r="B324" s="410"/>
      <c r="C324" s="412"/>
      <c r="D324" s="412"/>
      <c r="E324" s="412"/>
      <c r="F324" s="412"/>
      <c r="G324" s="408"/>
      <c r="H324" s="408"/>
      <c r="I324" s="410"/>
      <c r="J324" s="412"/>
      <c r="K324" s="412"/>
      <c r="L324" s="412"/>
      <c r="M324" s="412"/>
      <c r="N324" s="253"/>
    </row>
    <row r="325" spans="1:14">
      <c r="A325" s="408"/>
      <c r="B325" s="410"/>
      <c r="C325" s="412"/>
      <c r="D325" s="412"/>
      <c r="E325" s="412"/>
      <c r="F325" s="412"/>
      <c r="G325" s="408"/>
      <c r="H325" s="408"/>
      <c r="I325" s="410"/>
      <c r="J325" s="412"/>
      <c r="K325" s="412"/>
      <c r="L325" s="412"/>
      <c r="M325" s="412"/>
      <c r="N325" s="253"/>
    </row>
    <row r="326" spans="1:14">
      <c r="A326" s="408"/>
      <c r="B326" s="410"/>
      <c r="C326" s="412"/>
      <c r="D326" s="412"/>
      <c r="E326" s="412"/>
      <c r="F326" s="412"/>
      <c r="G326" s="408"/>
      <c r="H326" s="408"/>
      <c r="I326" s="410"/>
      <c r="J326" s="412"/>
      <c r="K326" s="412"/>
      <c r="L326" s="412"/>
      <c r="M326" s="412"/>
      <c r="N326" s="253"/>
    </row>
    <row r="327" spans="1:14">
      <c r="A327" s="408"/>
      <c r="B327" s="410"/>
      <c r="C327" s="412"/>
      <c r="D327" s="412"/>
      <c r="E327" s="412"/>
      <c r="F327" s="412"/>
      <c r="G327" s="408"/>
      <c r="H327" s="408"/>
      <c r="I327" s="410"/>
      <c r="J327" s="412"/>
      <c r="K327" s="412"/>
      <c r="L327" s="412"/>
      <c r="M327" s="412"/>
      <c r="N327" s="253"/>
    </row>
    <row r="328" spans="1:14">
      <c r="A328" s="408"/>
      <c r="B328" s="410"/>
      <c r="C328" s="411"/>
      <c r="D328" s="411"/>
      <c r="E328" s="411"/>
      <c r="F328" s="411"/>
      <c r="G328" s="408"/>
      <c r="H328" s="408"/>
      <c r="I328" s="410"/>
      <c r="J328" s="411"/>
      <c r="K328" s="411"/>
      <c r="L328" s="411"/>
      <c r="M328" s="411"/>
      <c r="N328" s="253"/>
    </row>
    <row r="329" spans="1:14">
      <c r="A329" s="408"/>
      <c r="B329" s="410"/>
      <c r="C329" s="411"/>
      <c r="D329" s="408"/>
      <c r="E329" s="408"/>
      <c r="F329" s="408"/>
      <c r="G329" s="408"/>
      <c r="H329" s="408"/>
      <c r="I329" s="410"/>
      <c r="J329" s="411"/>
      <c r="K329" s="408"/>
      <c r="L329" s="408"/>
      <c r="M329" s="408"/>
      <c r="N329" s="253"/>
    </row>
    <row r="330" spans="1:14">
      <c r="A330" s="211"/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</row>
    <row r="331" spans="1:14">
      <c r="A331" s="211"/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</row>
    <row r="332" spans="1:14">
      <c r="A332" s="211"/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</row>
    <row r="333" spans="1:14">
      <c r="A333" s="408"/>
      <c r="B333" s="409"/>
      <c r="C333" s="420"/>
      <c r="D333" s="420"/>
      <c r="E333" s="420"/>
      <c r="F333" s="408"/>
      <c r="G333" s="408"/>
      <c r="H333" s="408"/>
      <c r="I333" s="409"/>
      <c r="J333" s="420"/>
      <c r="K333" s="420"/>
      <c r="L333" s="420"/>
      <c r="M333" s="408"/>
      <c r="N333" s="253"/>
    </row>
    <row r="334" spans="1:14">
      <c r="A334" s="408"/>
      <c r="B334" s="408"/>
      <c r="C334" s="408"/>
      <c r="D334" s="408"/>
      <c r="E334" s="408"/>
      <c r="F334" s="408"/>
      <c r="G334" s="408"/>
      <c r="H334" s="408"/>
      <c r="I334" s="408"/>
      <c r="J334" s="408"/>
      <c r="K334" s="408"/>
      <c r="L334" s="408"/>
      <c r="M334" s="408"/>
      <c r="N334" s="253"/>
    </row>
    <row r="335" spans="1:14">
      <c r="A335" s="408"/>
      <c r="B335" s="408"/>
      <c r="C335" s="408"/>
      <c r="D335" s="408"/>
      <c r="E335" s="408"/>
      <c r="F335" s="408"/>
      <c r="G335" s="408"/>
      <c r="H335" s="408"/>
      <c r="I335" s="408"/>
      <c r="J335" s="408"/>
      <c r="K335" s="408"/>
      <c r="L335" s="408"/>
      <c r="M335" s="408"/>
      <c r="N335" s="253"/>
    </row>
    <row r="336" spans="1:14">
      <c r="A336" s="408"/>
      <c r="B336" s="410"/>
      <c r="C336" s="412"/>
      <c r="D336" s="412"/>
      <c r="E336" s="412"/>
      <c r="F336" s="412"/>
      <c r="G336" s="408"/>
      <c r="H336" s="408"/>
      <c r="I336" s="410"/>
      <c r="J336" s="412"/>
      <c r="K336" s="412"/>
      <c r="L336" s="412"/>
      <c r="M336" s="412"/>
      <c r="N336" s="253"/>
    </row>
    <row r="337" spans="1:14">
      <c r="A337" s="408"/>
      <c r="B337" s="410"/>
      <c r="C337" s="412"/>
      <c r="D337" s="412"/>
      <c r="E337" s="412"/>
      <c r="F337" s="412"/>
      <c r="G337" s="408"/>
      <c r="H337" s="408"/>
      <c r="I337" s="410"/>
      <c r="J337" s="412"/>
      <c r="K337" s="412"/>
      <c r="L337" s="412"/>
      <c r="M337" s="412"/>
      <c r="N337" s="253"/>
    </row>
    <row r="338" spans="1:14">
      <c r="A338" s="408"/>
      <c r="B338" s="410"/>
      <c r="C338" s="412"/>
      <c r="D338" s="412"/>
      <c r="E338" s="412"/>
      <c r="F338" s="412"/>
      <c r="G338" s="408"/>
      <c r="H338" s="408"/>
      <c r="I338" s="410"/>
      <c r="J338" s="412"/>
      <c r="K338" s="412"/>
      <c r="L338" s="412"/>
      <c r="M338" s="412"/>
      <c r="N338" s="253"/>
    </row>
    <row r="339" spans="1:14">
      <c r="A339" s="408"/>
      <c r="B339" s="410"/>
      <c r="C339" s="412"/>
      <c r="D339" s="412"/>
      <c r="E339" s="412"/>
      <c r="F339" s="412"/>
      <c r="G339" s="408"/>
      <c r="H339" s="408"/>
      <c r="I339" s="410"/>
      <c r="J339" s="412"/>
      <c r="K339" s="412"/>
      <c r="L339" s="412"/>
      <c r="M339" s="412"/>
      <c r="N339" s="253"/>
    </row>
    <row r="340" spans="1:14">
      <c r="A340" s="408"/>
      <c r="B340" s="410"/>
      <c r="C340" s="412"/>
      <c r="D340" s="412"/>
      <c r="E340" s="412"/>
      <c r="F340" s="412"/>
      <c r="G340" s="408"/>
      <c r="H340" s="408"/>
      <c r="I340" s="410"/>
      <c r="J340" s="412"/>
      <c r="K340" s="412"/>
      <c r="L340" s="412"/>
      <c r="M340" s="412"/>
      <c r="N340" s="253"/>
    </row>
    <row r="341" spans="1:14">
      <c r="A341" s="408"/>
      <c r="B341" s="410"/>
      <c r="C341" s="412"/>
      <c r="D341" s="412"/>
      <c r="E341" s="412"/>
      <c r="F341" s="412"/>
      <c r="G341" s="408"/>
      <c r="H341" s="408"/>
      <c r="I341" s="410"/>
      <c r="J341" s="412"/>
      <c r="K341" s="412"/>
      <c r="L341" s="412"/>
      <c r="M341" s="412"/>
      <c r="N341" s="253"/>
    </row>
    <row r="342" spans="1:14">
      <c r="A342" s="408"/>
      <c r="B342" s="410"/>
      <c r="C342" s="412"/>
      <c r="D342" s="412"/>
      <c r="E342" s="412"/>
      <c r="F342" s="412"/>
      <c r="G342" s="408"/>
      <c r="H342" s="408"/>
      <c r="I342" s="410"/>
      <c r="J342" s="412"/>
      <c r="K342" s="412"/>
      <c r="L342" s="412"/>
      <c r="M342" s="412"/>
      <c r="N342" s="253"/>
    </row>
    <row r="343" spans="1:14">
      <c r="A343" s="408"/>
      <c r="B343" s="410"/>
      <c r="C343" s="412"/>
      <c r="D343" s="412"/>
      <c r="E343" s="412"/>
      <c r="F343" s="412"/>
      <c r="G343" s="408"/>
      <c r="H343" s="408"/>
      <c r="I343" s="410"/>
      <c r="J343" s="412"/>
      <c r="K343" s="412"/>
      <c r="L343" s="412"/>
      <c r="M343" s="412"/>
      <c r="N343" s="253"/>
    </row>
    <row r="344" spans="1:14">
      <c r="A344" s="408"/>
      <c r="B344" s="410"/>
      <c r="C344" s="412"/>
      <c r="D344" s="412"/>
      <c r="E344" s="412"/>
      <c r="F344" s="412"/>
      <c r="G344" s="408"/>
      <c r="H344" s="408"/>
      <c r="I344" s="410"/>
      <c r="J344" s="412"/>
      <c r="K344" s="412"/>
      <c r="L344" s="412"/>
      <c r="M344" s="412"/>
      <c r="N344" s="253"/>
    </row>
    <row r="345" spans="1:14">
      <c r="A345" s="408"/>
      <c r="B345" s="410"/>
      <c r="C345" s="412"/>
      <c r="D345" s="412"/>
      <c r="E345" s="412"/>
      <c r="F345" s="412"/>
      <c r="G345" s="408"/>
      <c r="H345" s="408"/>
      <c r="I345" s="410"/>
      <c r="J345" s="412"/>
      <c r="K345" s="412"/>
      <c r="L345" s="412"/>
      <c r="M345" s="412"/>
      <c r="N345" s="253"/>
    </row>
    <row r="346" spans="1:14">
      <c r="A346" s="408"/>
      <c r="B346" s="410"/>
      <c r="C346" s="412"/>
      <c r="D346" s="412"/>
      <c r="E346" s="412"/>
      <c r="F346" s="412"/>
      <c r="G346" s="408"/>
      <c r="H346" s="408"/>
      <c r="I346" s="410"/>
      <c r="J346" s="412"/>
      <c r="K346" s="412"/>
      <c r="L346" s="412"/>
      <c r="M346" s="412"/>
      <c r="N346" s="253"/>
    </row>
    <row r="347" spans="1:14">
      <c r="A347" s="408"/>
      <c r="B347" s="410"/>
      <c r="C347" s="412"/>
      <c r="D347" s="412"/>
      <c r="E347" s="412"/>
      <c r="F347" s="412"/>
      <c r="G347" s="408"/>
      <c r="H347" s="408"/>
      <c r="I347" s="410"/>
      <c r="J347" s="412"/>
      <c r="K347" s="412"/>
      <c r="L347" s="412"/>
      <c r="M347" s="412"/>
      <c r="N347" s="253"/>
    </row>
    <row r="348" spans="1:14">
      <c r="A348" s="408"/>
      <c r="B348" s="410"/>
      <c r="C348" s="411"/>
      <c r="D348" s="411"/>
      <c r="E348" s="411"/>
      <c r="F348" s="411"/>
      <c r="G348" s="408"/>
      <c r="H348" s="408"/>
      <c r="I348" s="410"/>
      <c r="J348" s="411"/>
      <c r="K348" s="411"/>
      <c r="L348" s="411"/>
      <c r="M348" s="411"/>
      <c r="N348" s="253"/>
    </row>
    <row r="349" spans="1:14">
      <c r="A349" s="408"/>
      <c r="B349" s="410"/>
      <c r="C349" s="411"/>
      <c r="D349" s="408"/>
      <c r="E349" s="408"/>
      <c r="F349" s="408"/>
      <c r="G349" s="408"/>
      <c r="H349" s="408"/>
      <c r="I349" s="410"/>
      <c r="J349" s="411"/>
      <c r="K349" s="408"/>
      <c r="L349" s="408"/>
      <c r="M349" s="408"/>
      <c r="N349" s="253"/>
    </row>
    <row r="350" spans="1:14">
      <c r="A350" s="211"/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</row>
    <row r="351" spans="1:14">
      <c r="A351" s="211"/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</row>
    <row r="352" spans="1:14">
      <c r="A352" s="211"/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</row>
    <row r="353" spans="1:14">
      <c r="A353" s="408"/>
      <c r="B353" s="409"/>
      <c r="C353" s="420"/>
      <c r="D353" s="420"/>
      <c r="E353" s="420"/>
      <c r="F353" s="408"/>
      <c r="G353" s="408"/>
      <c r="H353" s="408"/>
      <c r="I353" s="409"/>
      <c r="J353" s="420"/>
      <c r="K353" s="420"/>
      <c r="L353" s="420"/>
      <c r="M353" s="408"/>
      <c r="N353" s="253"/>
    </row>
    <row r="354" spans="1:14">
      <c r="A354" s="408"/>
      <c r="B354" s="408"/>
      <c r="C354" s="408"/>
      <c r="D354" s="408"/>
      <c r="E354" s="408"/>
      <c r="F354" s="408"/>
      <c r="G354" s="408"/>
      <c r="H354" s="408"/>
      <c r="I354" s="408"/>
      <c r="J354" s="408"/>
      <c r="K354" s="408"/>
      <c r="L354" s="408"/>
      <c r="M354" s="408"/>
      <c r="N354" s="253"/>
    </row>
    <row r="355" spans="1:14">
      <c r="A355" s="408"/>
      <c r="B355" s="408"/>
      <c r="C355" s="408"/>
      <c r="D355" s="408"/>
      <c r="E355" s="408"/>
      <c r="F355" s="408"/>
      <c r="G355" s="408"/>
      <c r="H355" s="408"/>
      <c r="I355" s="408"/>
      <c r="J355" s="408"/>
      <c r="K355" s="408"/>
      <c r="L355" s="408"/>
      <c r="M355" s="408"/>
      <c r="N355" s="253"/>
    </row>
    <row r="356" spans="1:14">
      <c r="A356" s="408"/>
      <c r="B356" s="410"/>
      <c r="C356" s="412"/>
      <c r="D356" s="412"/>
      <c r="E356" s="412"/>
      <c r="F356" s="412"/>
      <c r="G356" s="408"/>
      <c r="H356" s="408"/>
      <c r="I356" s="410"/>
      <c r="J356" s="412"/>
      <c r="K356" s="412"/>
      <c r="L356" s="412"/>
      <c r="M356" s="412"/>
      <c r="N356" s="253"/>
    </row>
    <row r="357" spans="1:14">
      <c r="A357" s="408"/>
      <c r="B357" s="410"/>
      <c r="C357" s="412"/>
      <c r="D357" s="412"/>
      <c r="E357" s="412"/>
      <c r="F357" s="412"/>
      <c r="G357" s="408"/>
      <c r="H357" s="408"/>
      <c r="I357" s="410"/>
      <c r="J357" s="412"/>
      <c r="K357" s="412"/>
      <c r="L357" s="412"/>
      <c r="M357" s="412"/>
      <c r="N357" s="253"/>
    </row>
    <row r="358" spans="1:14">
      <c r="A358" s="408"/>
      <c r="B358" s="410"/>
      <c r="C358" s="412"/>
      <c r="D358" s="412"/>
      <c r="E358" s="412"/>
      <c r="F358" s="412"/>
      <c r="G358" s="408"/>
      <c r="H358" s="408"/>
      <c r="I358" s="410"/>
      <c r="J358" s="412"/>
      <c r="K358" s="412"/>
      <c r="L358" s="412"/>
      <c r="M358" s="412"/>
      <c r="N358" s="253"/>
    </row>
    <row r="359" spans="1:14">
      <c r="A359" s="408"/>
      <c r="B359" s="410"/>
      <c r="C359" s="412"/>
      <c r="D359" s="412"/>
      <c r="E359" s="412"/>
      <c r="F359" s="412"/>
      <c r="G359" s="408"/>
      <c r="H359" s="408"/>
      <c r="I359" s="410"/>
      <c r="J359" s="412"/>
      <c r="K359" s="412"/>
      <c r="L359" s="412"/>
      <c r="M359" s="412"/>
      <c r="N359" s="253"/>
    </row>
    <row r="360" spans="1:14">
      <c r="A360" s="408"/>
      <c r="B360" s="410"/>
      <c r="C360" s="412"/>
      <c r="D360" s="412"/>
      <c r="E360" s="412"/>
      <c r="F360" s="412"/>
      <c r="G360" s="408"/>
      <c r="H360" s="408"/>
      <c r="I360" s="410"/>
      <c r="J360" s="412"/>
      <c r="K360" s="412"/>
      <c r="L360" s="412"/>
      <c r="M360" s="412"/>
      <c r="N360" s="253"/>
    </row>
    <row r="361" spans="1:14">
      <c r="A361" s="408"/>
      <c r="B361" s="410"/>
      <c r="C361" s="412"/>
      <c r="D361" s="412"/>
      <c r="E361" s="412"/>
      <c r="F361" s="412"/>
      <c r="G361" s="408"/>
      <c r="H361" s="408"/>
      <c r="I361" s="410"/>
      <c r="J361" s="412"/>
      <c r="K361" s="412"/>
      <c r="L361" s="412"/>
      <c r="M361" s="412"/>
      <c r="N361" s="253"/>
    </row>
    <row r="362" spans="1:14">
      <c r="A362" s="408"/>
      <c r="B362" s="410"/>
      <c r="C362" s="412"/>
      <c r="D362" s="412"/>
      <c r="E362" s="412"/>
      <c r="F362" s="412"/>
      <c r="G362" s="408"/>
      <c r="H362" s="408"/>
      <c r="I362" s="410"/>
      <c r="J362" s="412"/>
      <c r="K362" s="412"/>
      <c r="L362" s="412"/>
      <c r="M362" s="412"/>
      <c r="N362" s="253"/>
    </row>
    <row r="363" spans="1:14">
      <c r="A363" s="408"/>
      <c r="B363" s="410"/>
      <c r="C363" s="412"/>
      <c r="D363" s="412"/>
      <c r="E363" s="412"/>
      <c r="F363" s="412"/>
      <c r="G363" s="408"/>
      <c r="H363" s="408"/>
      <c r="I363" s="410"/>
      <c r="J363" s="412"/>
      <c r="K363" s="412"/>
      <c r="L363" s="412"/>
      <c r="M363" s="412"/>
      <c r="N363" s="253"/>
    </row>
    <row r="364" spans="1:14">
      <c r="A364" s="408"/>
      <c r="B364" s="410"/>
      <c r="C364" s="412"/>
      <c r="D364" s="412"/>
      <c r="E364" s="412"/>
      <c r="F364" s="412"/>
      <c r="G364" s="408"/>
      <c r="H364" s="408"/>
      <c r="I364" s="410"/>
      <c r="J364" s="412"/>
      <c r="K364" s="412"/>
      <c r="L364" s="412"/>
      <c r="M364" s="412"/>
      <c r="N364" s="253"/>
    </row>
    <row r="365" spans="1:14">
      <c r="A365" s="408"/>
      <c r="B365" s="410"/>
      <c r="C365" s="412"/>
      <c r="D365" s="412"/>
      <c r="E365" s="412"/>
      <c r="F365" s="412"/>
      <c r="G365" s="408"/>
      <c r="H365" s="408"/>
      <c r="I365" s="410"/>
      <c r="J365" s="412"/>
      <c r="K365" s="412"/>
      <c r="L365" s="412"/>
      <c r="M365" s="412"/>
      <c r="N365" s="253"/>
    </row>
    <row r="366" spans="1:14">
      <c r="A366" s="408"/>
      <c r="B366" s="410"/>
      <c r="C366" s="412"/>
      <c r="D366" s="412"/>
      <c r="E366" s="412"/>
      <c r="F366" s="412"/>
      <c r="G366" s="408"/>
      <c r="H366" s="408"/>
      <c r="I366" s="410"/>
      <c r="J366" s="412"/>
      <c r="K366" s="412"/>
      <c r="L366" s="412"/>
      <c r="M366" s="412"/>
      <c r="N366" s="253"/>
    </row>
    <row r="367" spans="1:14">
      <c r="A367" s="408"/>
      <c r="B367" s="410"/>
      <c r="C367" s="412"/>
      <c r="D367" s="412"/>
      <c r="E367" s="412"/>
      <c r="F367" s="412"/>
      <c r="G367" s="408"/>
      <c r="H367" s="408"/>
      <c r="I367" s="410"/>
      <c r="J367" s="412"/>
      <c r="K367" s="412"/>
      <c r="L367" s="412"/>
      <c r="M367" s="412"/>
      <c r="N367" s="253"/>
    </row>
    <row r="368" spans="1:14">
      <c r="A368" s="408"/>
      <c r="B368" s="410"/>
      <c r="C368" s="411"/>
      <c r="D368" s="411"/>
      <c r="E368" s="411"/>
      <c r="F368" s="411"/>
      <c r="G368" s="408"/>
      <c r="H368" s="408"/>
      <c r="I368" s="410"/>
      <c r="J368" s="411"/>
      <c r="K368" s="411"/>
      <c r="L368" s="411"/>
      <c r="M368" s="411"/>
      <c r="N368" s="253"/>
    </row>
    <row r="369" spans="1:14">
      <c r="A369" s="408"/>
      <c r="B369" s="410"/>
      <c r="C369" s="411"/>
      <c r="D369" s="408"/>
      <c r="E369" s="408"/>
      <c r="F369" s="408"/>
      <c r="G369" s="408"/>
      <c r="H369" s="408"/>
      <c r="I369" s="410"/>
      <c r="J369" s="411"/>
      <c r="K369" s="408"/>
      <c r="L369" s="408"/>
      <c r="M369" s="408"/>
      <c r="N369" s="253"/>
    </row>
    <row r="370" spans="1:14">
      <c r="A370" s="211"/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</row>
    <row r="371" spans="1:14">
      <c r="A371" s="211"/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</row>
    <row r="372" spans="1:14">
      <c r="A372" s="211"/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</row>
    <row r="373" spans="1:14">
      <c r="A373" s="253"/>
      <c r="B373" s="254"/>
      <c r="C373" s="253"/>
      <c r="D373" s="253"/>
      <c r="E373" s="253"/>
      <c r="F373" s="253"/>
      <c r="G373" s="253"/>
      <c r="H373" s="253"/>
      <c r="I373" s="253"/>
      <c r="J373" s="253"/>
      <c r="K373" s="253"/>
      <c r="L373" s="253"/>
      <c r="M373" s="253"/>
      <c r="N373" s="253"/>
    </row>
    <row r="374" spans="1:14">
      <c r="A374" s="253"/>
      <c r="B374" s="253"/>
      <c r="C374" s="253"/>
      <c r="D374" s="253"/>
      <c r="E374" s="253"/>
      <c r="F374" s="253"/>
      <c r="G374" s="253"/>
      <c r="H374" s="253"/>
      <c r="I374" s="253"/>
      <c r="J374" s="253"/>
      <c r="K374" s="253"/>
      <c r="L374" s="253"/>
      <c r="M374" s="253"/>
      <c r="N374" s="253"/>
    </row>
    <row r="375" spans="1:14">
      <c r="A375" s="253"/>
      <c r="B375" s="253"/>
      <c r="C375" s="253"/>
      <c r="D375" s="253"/>
      <c r="E375" s="253"/>
      <c r="F375" s="253"/>
      <c r="G375" s="253"/>
      <c r="H375" s="253"/>
      <c r="I375" s="253"/>
      <c r="J375" s="253"/>
      <c r="K375" s="253"/>
      <c r="L375" s="253"/>
      <c r="M375" s="253"/>
      <c r="N375" s="253"/>
    </row>
    <row r="376" spans="1:14">
      <c r="A376" s="253"/>
      <c r="B376" s="252"/>
      <c r="C376" s="212"/>
      <c r="D376" s="212"/>
      <c r="E376" s="212"/>
      <c r="F376" s="212"/>
      <c r="G376" s="212"/>
      <c r="H376" s="253"/>
      <c r="I376" s="252"/>
      <c r="J376" s="212"/>
      <c r="K376" s="212"/>
      <c r="L376" s="212"/>
      <c r="M376" s="212"/>
      <c r="N376" s="253"/>
    </row>
    <row r="377" spans="1:14">
      <c r="A377" s="253"/>
      <c r="B377" s="252"/>
      <c r="C377" s="212"/>
      <c r="D377" s="212"/>
      <c r="E377" s="212"/>
      <c r="F377" s="212"/>
      <c r="G377" s="212"/>
      <c r="H377" s="253"/>
      <c r="I377" s="252"/>
      <c r="J377" s="212"/>
      <c r="K377" s="212"/>
      <c r="L377" s="212"/>
      <c r="M377" s="212"/>
      <c r="N377" s="253"/>
    </row>
    <row r="378" spans="1:14">
      <c r="A378" s="253"/>
      <c r="B378" s="252"/>
      <c r="C378" s="212"/>
      <c r="D378" s="212"/>
      <c r="E378" s="212"/>
      <c r="F378" s="212"/>
      <c r="G378" s="212"/>
      <c r="H378" s="253"/>
      <c r="I378" s="252"/>
      <c r="J378" s="212"/>
      <c r="K378" s="212"/>
      <c r="L378" s="212"/>
      <c r="M378" s="212"/>
      <c r="N378" s="253"/>
    </row>
    <row r="379" spans="1:14">
      <c r="A379" s="253"/>
      <c r="B379" s="252"/>
      <c r="C379" s="212"/>
      <c r="D379" s="212"/>
      <c r="E379" s="212"/>
      <c r="F379" s="212"/>
      <c r="G379" s="212"/>
      <c r="H379" s="253"/>
      <c r="I379" s="252"/>
      <c r="J379" s="212"/>
      <c r="K379" s="212"/>
      <c r="L379" s="212"/>
      <c r="M379" s="212"/>
      <c r="N379" s="253"/>
    </row>
    <row r="380" spans="1:14">
      <c r="A380" s="253"/>
      <c r="B380" s="252"/>
      <c r="C380" s="212"/>
      <c r="D380" s="212"/>
      <c r="E380" s="212"/>
      <c r="F380" s="212"/>
      <c r="G380" s="212"/>
      <c r="H380" s="253"/>
      <c r="I380" s="252"/>
      <c r="J380" s="212"/>
      <c r="K380" s="212"/>
      <c r="L380" s="212"/>
      <c r="M380" s="212"/>
      <c r="N380" s="253"/>
    </row>
    <row r="381" spans="1:14">
      <c r="A381" s="253"/>
      <c r="B381" s="252"/>
      <c r="C381" s="212"/>
      <c r="D381" s="212"/>
      <c r="E381" s="212"/>
      <c r="F381" s="212"/>
      <c r="G381" s="212"/>
      <c r="H381" s="253"/>
      <c r="I381" s="252"/>
      <c r="J381" s="212"/>
      <c r="K381" s="212"/>
      <c r="L381" s="212"/>
      <c r="M381" s="212"/>
      <c r="N381" s="253"/>
    </row>
    <row r="382" spans="1:14">
      <c r="A382" s="253"/>
      <c r="B382" s="252"/>
      <c r="C382" s="212"/>
      <c r="D382" s="212"/>
      <c r="E382" s="212"/>
      <c r="F382" s="212"/>
      <c r="G382" s="212"/>
      <c r="H382" s="253"/>
      <c r="I382" s="252"/>
      <c r="J382" s="212"/>
      <c r="K382" s="212"/>
      <c r="L382" s="212"/>
      <c r="M382" s="212"/>
      <c r="N382" s="253"/>
    </row>
    <row r="383" spans="1:14">
      <c r="A383" s="253"/>
      <c r="B383" s="252"/>
      <c r="C383" s="212"/>
      <c r="D383" s="212"/>
      <c r="E383" s="212"/>
      <c r="F383" s="212"/>
      <c r="G383" s="212"/>
      <c r="H383" s="253"/>
      <c r="I383" s="252"/>
      <c r="J383" s="212"/>
      <c r="K383" s="212"/>
      <c r="L383" s="212"/>
      <c r="M383" s="212"/>
      <c r="N383" s="253"/>
    </row>
    <row r="384" spans="1:14">
      <c r="A384" s="253"/>
      <c r="B384" s="252"/>
      <c r="C384" s="212"/>
      <c r="D384" s="212"/>
      <c r="E384" s="212"/>
      <c r="F384" s="212"/>
      <c r="G384" s="212"/>
      <c r="H384" s="253"/>
      <c r="I384" s="252"/>
      <c r="J384" s="212"/>
      <c r="K384" s="212"/>
      <c r="L384" s="212"/>
      <c r="M384" s="212"/>
      <c r="N384" s="253"/>
    </row>
    <row r="385" spans="1:14">
      <c r="A385" s="253"/>
      <c r="B385" s="252"/>
      <c r="C385" s="212"/>
      <c r="D385" s="212"/>
      <c r="E385" s="212"/>
      <c r="F385" s="212"/>
      <c r="G385" s="212"/>
      <c r="H385" s="253"/>
      <c r="I385" s="252"/>
      <c r="J385" s="212"/>
      <c r="K385" s="212"/>
      <c r="L385" s="212"/>
      <c r="M385" s="212"/>
      <c r="N385" s="253"/>
    </row>
    <row r="386" spans="1:14">
      <c r="A386" s="253"/>
      <c r="B386" s="252"/>
      <c r="C386" s="212"/>
      <c r="D386" s="212"/>
      <c r="E386" s="212"/>
      <c r="F386" s="212"/>
      <c r="G386" s="212"/>
      <c r="H386" s="253"/>
      <c r="I386" s="252"/>
      <c r="J386" s="212"/>
      <c r="K386" s="212"/>
      <c r="L386" s="212"/>
      <c r="M386" s="212"/>
      <c r="N386" s="253"/>
    </row>
    <row r="387" spans="1:14">
      <c r="A387" s="253"/>
      <c r="B387" s="252"/>
      <c r="C387" s="212"/>
      <c r="D387" s="212"/>
      <c r="E387" s="212"/>
      <c r="F387" s="212"/>
      <c r="G387" s="212"/>
      <c r="H387" s="253"/>
      <c r="I387" s="252"/>
      <c r="J387" s="212"/>
      <c r="K387" s="212"/>
      <c r="L387" s="212"/>
      <c r="M387" s="212"/>
      <c r="N387" s="253"/>
    </row>
    <row r="388" spans="1:14">
      <c r="A388" s="253"/>
      <c r="B388" s="252"/>
      <c r="C388" s="251"/>
      <c r="D388" s="251"/>
      <c r="E388" s="251"/>
      <c r="F388" s="251"/>
      <c r="G388" s="251"/>
      <c r="H388" s="253"/>
      <c r="I388" s="252"/>
      <c r="J388" s="251"/>
      <c r="K388" s="251"/>
      <c r="L388" s="251"/>
      <c r="M388" s="251"/>
      <c r="N388" s="253"/>
    </row>
    <row r="389" spans="1:14">
      <c r="A389" s="253"/>
      <c r="B389" s="253"/>
      <c r="C389" s="251"/>
      <c r="D389" s="253"/>
      <c r="E389" s="253"/>
      <c r="F389" s="253"/>
      <c r="G389" s="253"/>
      <c r="H389" s="253"/>
      <c r="I389" s="253"/>
      <c r="J389" s="251"/>
      <c r="K389" s="253"/>
      <c r="L389" s="253"/>
      <c r="M389" s="253"/>
      <c r="N389" s="253"/>
    </row>
    <row r="390" spans="1:14">
      <c r="A390" s="211"/>
      <c r="B390" s="211"/>
      <c r="C390" s="211"/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</row>
    <row r="391" spans="1:14">
      <c r="A391" s="211"/>
      <c r="B391" s="211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</row>
    <row r="392" spans="1:14">
      <c r="A392" s="211"/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</row>
    <row r="393" spans="1:14">
      <c r="A393" s="253"/>
      <c r="B393" s="254"/>
      <c r="C393" s="253"/>
      <c r="D393" s="253"/>
      <c r="E393" s="253"/>
      <c r="F393" s="253"/>
      <c r="G393" s="253"/>
      <c r="H393" s="253"/>
      <c r="I393" s="253"/>
      <c r="J393" s="253"/>
      <c r="K393" s="253"/>
      <c r="L393" s="253"/>
      <c r="M393" s="253"/>
      <c r="N393" s="253"/>
    </row>
    <row r="394" spans="1:14">
      <c r="A394" s="253"/>
      <c r="B394" s="253"/>
      <c r="C394" s="253"/>
      <c r="D394" s="253"/>
      <c r="E394" s="253"/>
      <c r="F394" s="253"/>
      <c r="G394" s="253"/>
      <c r="H394" s="253"/>
      <c r="I394" s="253"/>
      <c r="J394" s="253"/>
      <c r="K394" s="253"/>
      <c r="L394" s="253"/>
      <c r="M394" s="253"/>
      <c r="N394" s="253"/>
    </row>
    <row r="395" spans="1:14">
      <c r="A395" s="253"/>
      <c r="B395" s="253"/>
      <c r="C395" s="253"/>
      <c r="D395" s="253"/>
      <c r="E395" s="253"/>
      <c r="F395" s="253"/>
      <c r="G395" s="253"/>
      <c r="H395" s="253"/>
      <c r="I395" s="253"/>
      <c r="J395" s="253"/>
      <c r="K395" s="253"/>
      <c r="L395" s="253"/>
      <c r="M395" s="253"/>
      <c r="N395" s="253"/>
    </row>
    <row r="396" spans="1:14">
      <c r="A396" s="253"/>
      <c r="B396" s="252"/>
      <c r="C396" s="212"/>
      <c r="D396" s="212"/>
      <c r="E396" s="212"/>
      <c r="F396" s="212"/>
      <c r="G396" s="212"/>
      <c r="H396" s="253"/>
      <c r="I396" s="252"/>
      <c r="J396" s="212"/>
      <c r="K396" s="212"/>
      <c r="L396" s="212"/>
      <c r="M396" s="212"/>
      <c r="N396" s="253"/>
    </row>
    <row r="397" spans="1:14">
      <c r="A397" s="253"/>
      <c r="B397" s="252"/>
      <c r="C397" s="212"/>
      <c r="D397" s="212"/>
      <c r="E397" s="212"/>
      <c r="F397" s="212"/>
      <c r="G397" s="212"/>
      <c r="H397" s="253"/>
      <c r="I397" s="252"/>
      <c r="J397" s="212"/>
      <c r="K397" s="212"/>
      <c r="L397" s="212"/>
      <c r="M397" s="212"/>
      <c r="N397" s="253"/>
    </row>
    <row r="398" spans="1:14">
      <c r="A398" s="253"/>
      <c r="B398" s="252"/>
      <c r="C398" s="212"/>
      <c r="D398" s="212"/>
      <c r="E398" s="212"/>
      <c r="F398" s="212"/>
      <c r="G398" s="212"/>
      <c r="H398" s="253"/>
      <c r="I398" s="252"/>
      <c r="J398" s="212"/>
      <c r="K398" s="212"/>
      <c r="L398" s="212"/>
      <c r="M398" s="212"/>
      <c r="N398" s="253"/>
    </row>
    <row r="399" spans="1:14">
      <c r="A399" s="253"/>
      <c r="B399" s="252"/>
      <c r="C399" s="212"/>
      <c r="D399" s="212"/>
      <c r="E399" s="212"/>
      <c r="F399" s="212"/>
      <c r="G399" s="212"/>
      <c r="H399" s="253"/>
      <c r="I399" s="252"/>
      <c r="J399" s="212"/>
      <c r="K399" s="212"/>
      <c r="L399" s="212"/>
      <c r="M399" s="212"/>
      <c r="N399" s="253"/>
    </row>
    <row r="400" spans="1:14">
      <c r="A400" s="253"/>
      <c r="B400" s="252"/>
      <c r="C400" s="212"/>
      <c r="D400" s="212"/>
      <c r="E400" s="212"/>
      <c r="F400" s="212"/>
      <c r="G400" s="212"/>
      <c r="H400" s="253"/>
      <c r="I400" s="252"/>
      <c r="J400" s="212"/>
      <c r="K400" s="212"/>
      <c r="L400" s="212"/>
      <c r="M400" s="212"/>
      <c r="N400" s="253"/>
    </row>
    <row r="401" spans="1:14">
      <c r="A401" s="253"/>
      <c r="B401" s="252"/>
      <c r="C401" s="212"/>
      <c r="D401" s="212"/>
      <c r="E401" s="212"/>
      <c r="F401" s="212"/>
      <c r="G401" s="212"/>
      <c r="H401" s="253"/>
      <c r="I401" s="252"/>
      <c r="J401" s="212"/>
      <c r="K401" s="212"/>
      <c r="L401" s="212"/>
      <c r="M401" s="212"/>
      <c r="N401" s="253"/>
    </row>
    <row r="402" spans="1:14">
      <c r="A402" s="253"/>
      <c r="B402" s="252"/>
      <c r="C402" s="212"/>
      <c r="D402" s="212"/>
      <c r="E402" s="212"/>
      <c r="F402" s="212"/>
      <c r="G402" s="212"/>
      <c r="H402" s="253"/>
      <c r="I402" s="252"/>
      <c r="J402" s="212"/>
      <c r="K402" s="212"/>
      <c r="L402" s="212"/>
      <c r="M402" s="212"/>
      <c r="N402" s="253"/>
    </row>
    <row r="403" spans="1:14">
      <c r="A403" s="253"/>
      <c r="B403" s="252"/>
      <c r="C403" s="212"/>
      <c r="D403" s="212"/>
      <c r="E403" s="212"/>
      <c r="F403" s="212"/>
      <c r="G403" s="212"/>
      <c r="H403" s="253"/>
      <c r="I403" s="252"/>
      <c r="J403" s="212"/>
      <c r="K403" s="212"/>
      <c r="L403" s="212"/>
      <c r="M403" s="212"/>
      <c r="N403" s="253"/>
    </row>
    <row r="404" spans="1:14">
      <c r="A404" s="253"/>
      <c r="B404" s="252"/>
      <c r="C404" s="212"/>
      <c r="D404" s="212"/>
      <c r="E404" s="212"/>
      <c r="F404" s="212"/>
      <c r="G404" s="212"/>
      <c r="H404" s="253"/>
      <c r="I404" s="252"/>
      <c r="J404" s="212"/>
      <c r="K404" s="212"/>
      <c r="L404" s="212"/>
      <c r="M404" s="212"/>
      <c r="N404" s="253"/>
    </row>
    <row r="405" spans="1:14">
      <c r="A405" s="253"/>
      <c r="B405" s="252"/>
      <c r="C405" s="212"/>
      <c r="D405" s="212"/>
      <c r="E405" s="212"/>
      <c r="F405" s="212"/>
      <c r="G405" s="212"/>
      <c r="H405" s="253"/>
      <c r="I405" s="252"/>
      <c r="J405" s="212"/>
      <c r="K405" s="212"/>
      <c r="L405" s="212"/>
      <c r="M405" s="212"/>
      <c r="N405" s="253"/>
    </row>
    <row r="406" spans="1:14">
      <c r="A406" s="253"/>
      <c r="B406" s="252"/>
      <c r="C406" s="212"/>
      <c r="D406" s="212"/>
      <c r="E406" s="212"/>
      <c r="F406" s="212"/>
      <c r="G406" s="212"/>
      <c r="H406" s="253"/>
      <c r="I406" s="252"/>
      <c r="J406" s="212"/>
      <c r="K406" s="212"/>
      <c r="L406" s="212"/>
      <c r="M406" s="212"/>
      <c r="N406" s="253"/>
    </row>
    <row r="407" spans="1:14">
      <c r="A407" s="253"/>
      <c r="B407" s="252"/>
      <c r="C407" s="212"/>
      <c r="D407" s="212"/>
      <c r="E407" s="212"/>
      <c r="F407" s="212"/>
      <c r="G407" s="212"/>
      <c r="H407" s="253"/>
      <c r="I407" s="252"/>
      <c r="J407" s="212"/>
      <c r="K407" s="212"/>
      <c r="L407" s="212"/>
      <c r="M407" s="212"/>
      <c r="N407" s="253"/>
    </row>
    <row r="408" spans="1:14">
      <c r="A408" s="253"/>
      <c r="B408" s="252"/>
      <c r="C408" s="251"/>
      <c r="D408" s="251"/>
      <c r="E408" s="251"/>
      <c r="F408" s="251"/>
      <c r="G408" s="251"/>
      <c r="H408" s="253"/>
      <c r="I408" s="252"/>
      <c r="J408" s="251"/>
      <c r="K408" s="251"/>
      <c r="L408" s="251"/>
      <c r="M408" s="251"/>
      <c r="N408" s="253"/>
    </row>
    <row r="409" spans="1:14">
      <c r="A409" s="253"/>
      <c r="B409" s="253"/>
      <c r="C409" s="251"/>
      <c r="D409" s="253"/>
      <c r="E409" s="253"/>
      <c r="F409" s="253"/>
      <c r="G409" s="253"/>
      <c r="H409" s="253"/>
      <c r="I409" s="253"/>
      <c r="J409" s="251"/>
      <c r="K409" s="253"/>
      <c r="L409" s="253"/>
      <c r="M409" s="253"/>
      <c r="N409" s="253"/>
    </row>
    <row r="410" spans="1:14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</row>
    <row r="411" spans="1:14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</row>
    <row r="412" spans="1:14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</row>
    <row r="413" spans="1:14">
      <c r="A413" s="253"/>
      <c r="B413" s="254"/>
      <c r="C413" s="253"/>
      <c r="D413" s="253"/>
      <c r="E413" s="253"/>
      <c r="F413" s="253"/>
      <c r="G413" s="253"/>
      <c r="H413" s="253"/>
      <c r="I413" s="253"/>
      <c r="J413" s="253"/>
      <c r="K413" s="253"/>
      <c r="L413" s="253"/>
      <c r="M413" s="253"/>
      <c r="N413" s="253"/>
    </row>
    <row r="414" spans="1:14">
      <c r="A414" s="253"/>
      <c r="B414" s="253"/>
      <c r="C414" s="253"/>
      <c r="D414" s="253"/>
      <c r="E414" s="253"/>
      <c r="F414" s="253"/>
      <c r="G414" s="253"/>
      <c r="H414" s="253"/>
      <c r="I414" s="253"/>
      <c r="J414" s="253"/>
      <c r="K414" s="253"/>
      <c r="L414" s="253"/>
      <c r="M414" s="253"/>
      <c r="N414" s="253"/>
    </row>
    <row r="415" spans="1:14">
      <c r="A415" s="253"/>
      <c r="B415" s="253"/>
      <c r="C415" s="253"/>
      <c r="D415" s="253"/>
      <c r="E415" s="253"/>
      <c r="F415" s="253"/>
      <c r="G415" s="253"/>
      <c r="H415" s="253"/>
      <c r="I415" s="253"/>
      <c r="J415" s="253"/>
      <c r="K415" s="253"/>
      <c r="L415" s="253"/>
      <c r="M415" s="253"/>
      <c r="N415" s="253"/>
    </row>
    <row r="416" spans="1:14">
      <c r="A416" s="253"/>
      <c r="B416" s="252"/>
      <c r="C416" s="212"/>
      <c r="D416" s="212"/>
      <c r="E416" s="212"/>
      <c r="F416" s="212"/>
      <c r="G416" s="212"/>
      <c r="H416" s="253"/>
      <c r="I416" s="252"/>
      <c r="J416" s="212"/>
      <c r="K416" s="212"/>
      <c r="L416" s="212"/>
      <c r="M416" s="212"/>
      <c r="N416" s="253"/>
    </row>
    <row r="417" spans="1:14">
      <c r="A417" s="253"/>
      <c r="B417" s="252"/>
      <c r="C417" s="212"/>
      <c r="D417" s="212"/>
      <c r="E417" s="212"/>
      <c r="F417" s="212"/>
      <c r="G417" s="212"/>
      <c r="H417" s="253"/>
      <c r="I417" s="252"/>
      <c r="J417" s="212"/>
      <c r="K417" s="212"/>
      <c r="L417" s="212"/>
      <c r="M417" s="212"/>
      <c r="N417" s="253"/>
    </row>
    <row r="418" spans="1:14">
      <c r="A418" s="253"/>
      <c r="B418" s="252"/>
      <c r="C418" s="212"/>
      <c r="D418" s="212"/>
      <c r="E418" s="212"/>
      <c r="F418" s="212"/>
      <c r="G418" s="212"/>
      <c r="H418" s="253"/>
      <c r="I418" s="252"/>
      <c r="J418" s="212"/>
      <c r="K418" s="212"/>
      <c r="L418" s="212"/>
      <c r="M418" s="212"/>
      <c r="N418" s="253"/>
    </row>
    <row r="419" spans="1:14">
      <c r="A419" s="253"/>
      <c r="B419" s="252"/>
      <c r="C419" s="212"/>
      <c r="D419" s="212"/>
      <c r="E419" s="212"/>
      <c r="F419" s="212"/>
      <c r="G419" s="212"/>
      <c r="H419" s="253"/>
      <c r="I419" s="252"/>
      <c r="J419" s="212"/>
      <c r="K419" s="212"/>
      <c r="L419" s="212"/>
      <c r="M419" s="212"/>
      <c r="N419" s="253"/>
    </row>
    <row r="420" spans="1:14">
      <c r="A420" s="253"/>
      <c r="B420" s="252"/>
      <c r="C420" s="212"/>
      <c r="D420" s="212"/>
      <c r="E420" s="212"/>
      <c r="F420" s="212"/>
      <c r="G420" s="212"/>
      <c r="H420" s="253"/>
      <c r="I420" s="252"/>
      <c r="J420" s="212"/>
      <c r="K420" s="212"/>
      <c r="L420" s="212"/>
      <c r="M420" s="212"/>
      <c r="N420" s="253"/>
    </row>
    <row r="421" spans="1:14">
      <c r="A421" s="253"/>
      <c r="B421" s="252"/>
      <c r="C421" s="212"/>
      <c r="D421" s="212"/>
      <c r="E421" s="212"/>
      <c r="F421" s="212"/>
      <c r="G421" s="212"/>
      <c r="H421" s="253"/>
      <c r="I421" s="252"/>
      <c r="J421" s="212"/>
      <c r="K421" s="212"/>
      <c r="L421" s="212"/>
      <c r="M421" s="212"/>
      <c r="N421" s="253"/>
    </row>
    <row r="422" spans="1:14">
      <c r="A422" s="253"/>
      <c r="B422" s="252"/>
      <c r="C422" s="212"/>
      <c r="D422" s="212"/>
      <c r="E422" s="212"/>
      <c r="F422" s="212"/>
      <c r="G422" s="212"/>
      <c r="H422" s="253"/>
      <c r="I422" s="252"/>
      <c r="J422" s="212"/>
      <c r="K422" s="212"/>
      <c r="L422" s="212"/>
      <c r="M422" s="212"/>
      <c r="N422" s="253"/>
    </row>
    <row r="423" spans="1:14">
      <c r="A423" s="253"/>
      <c r="B423" s="252"/>
      <c r="C423" s="212"/>
      <c r="D423" s="212"/>
      <c r="E423" s="212"/>
      <c r="F423" s="212"/>
      <c r="G423" s="212"/>
      <c r="H423" s="253"/>
      <c r="I423" s="252"/>
      <c r="J423" s="212"/>
      <c r="K423" s="212"/>
      <c r="L423" s="212"/>
      <c r="M423" s="212"/>
      <c r="N423" s="253"/>
    </row>
    <row r="424" spans="1:14">
      <c r="A424" s="253"/>
      <c r="B424" s="252"/>
      <c r="C424" s="212"/>
      <c r="D424" s="212"/>
      <c r="E424" s="212"/>
      <c r="F424" s="212"/>
      <c r="G424" s="212"/>
      <c r="H424" s="253"/>
      <c r="I424" s="252"/>
      <c r="J424" s="212"/>
      <c r="K424" s="212"/>
      <c r="L424" s="212"/>
      <c r="M424" s="212"/>
      <c r="N424" s="253"/>
    </row>
    <row r="425" spans="1:14">
      <c r="A425" s="253"/>
      <c r="B425" s="252"/>
      <c r="C425" s="212"/>
      <c r="D425" s="212"/>
      <c r="E425" s="212"/>
      <c r="F425" s="212"/>
      <c r="G425" s="212"/>
      <c r="H425" s="253"/>
      <c r="I425" s="252"/>
      <c r="J425" s="212"/>
      <c r="K425" s="212"/>
      <c r="L425" s="212"/>
      <c r="M425" s="212"/>
      <c r="N425" s="253"/>
    </row>
    <row r="426" spans="1:14">
      <c r="A426" s="253"/>
      <c r="B426" s="252"/>
      <c r="C426" s="212"/>
      <c r="D426" s="212"/>
      <c r="E426" s="212"/>
      <c r="F426" s="212"/>
      <c r="G426" s="212"/>
      <c r="H426" s="253"/>
      <c r="I426" s="252"/>
      <c r="J426" s="212"/>
      <c r="K426" s="212"/>
      <c r="L426" s="212"/>
      <c r="M426" s="212"/>
      <c r="N426" s="253"/>
    </row>
    <row r="427" spans="1:14">
      <c r="A427" s="253"/>
      <c r="B427" s="252"/>
      <c r="C427" s="212"/>
      <c r="D427" s="212"/>
      <c r="E427" s="212"/>
      <c r="F427" s="212"/>
      <c r="G427" s="212"/>
      <c r="H427" s="253"/>
      <c r="I427" s="252"/>
      <c r="J427" s="212"/>
      <c r="K427" s="212"/>
      <c r="L427" s="212"/>
      <c r="M427" s="212"/>
      <c r="N427" s="253"/>
    </row>
    <row r="428" spans="1:14">
      <c r="A428" s="253"/>
      <c r="B428" s="252"/>
      <c r="C428" s="251"/>
      <c r="D428" s="251"/>
      <c r="E428" s="251"/>
      <c r="F428" s="251"/>
      <c r="G428" s="251"/>
      <c r="H428" s="253"/>
      <c r="I428" s="252"/>
      <c r="J428" s="251"/>
      <c r="K428" s="251"/>
      <c r="L428" s="251"/>
      <c r="M428" s="251"/>
      <c r="N428" s="253"/>
    </row>
    <row r="429" spans="1:14">
      <c r="A429" s="253"/>
      <c r="B429" s="253"/>
      <c r="C429" s="251"/>
      <c r="D429" s="253"/>
      <c r="E429" s="253"/>
      <c r="F429" s="253"/>
      <c r="G429" s="253"/>
      <c r="H429" s="253"/>
      <c r="I429" s="253"/>
      <c r="J429" s="251"/>
      <c r="K429" s="253"/>
      <c r="L429" s="253"/>
      <c r="M429" s="253"/>
      <c r="N429" s="253"/>
    </row>
    <row r="430" spans="1:14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</row>
    <row r="431" spans="1:14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</row>
    <row r="432" spans="1:14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</row>
    <row r="433" spans="1:14">
      <c r="A433" s="253"/>
      <c r="B433" s="254"/>
      <c r="C433" s="253"/>
      <c r="D433" s="253"/>
      <c r="E433" s="253"/>
      <c r="F433" s="253"/>
      <c r="G433" s="253"/>
      <c r="H433" s="253"/>
      <c r="I433" s="253"/>
      <c r="J433" s="253"/>
      <c r="K433" s="253"/>
      <c r="L433" s="253"/>
      <c r="M433" s="253"/>
      <c r="N433" s="253"/>
    </row>
    <row r="434" spans="1:14">
      <c r="A434" s="253"/>
      <c r="B434" s="253"/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</row>
    <row r="435" spans="1:14">
      <c r="A435" s="253"/>
      <c r="B435" s="253"/>
      <c r="C435" s="253"/>
      <c r="D435" s="253"/>
      <c r="E435" s="253"/>
      <c r="F435" s="253"/>
      <c r="G435" s="253"/>
      <c r="H435" s="253"/>
      <c r="I435" s="253"/>
      <c r="J435" s="253"/>
      <c r="K435" s="253"/>
      <c r="L435" s="253"/>
      <c r="M435" s="253"/>
      <c r="N435" s="253"/>
    </row>
    <row r="436" spans="1:14">
      <c r="A436" s="253"/>
      <c r="B436" s="252"/>
      <c r="C436" s="212"/>
      <c r="D436" s="212"/>
      <c r="E436" s="212"/>
      <c r="F436" s="212"/>
      <c r="G436" s="212"/>
      <c r="H436" s="253"/>
      <c r="I436" s="252"/>
      <c r="J436" s="212"/>
      <c r="K436" s="212"/>
      <c r="L436" s="212"/>
      <c r="M436" s="212"/>
      <c r="N436" s="253"/>
    </row>
    <row r="437" spans="1:14">
      <c r="A437" s="253"/>
      <c r="B437" s="252"/>
      <c r="C437" s="212"/>
      <c r="D437" s="212"/>
      <c r="E437" s="212"/>
      <c r="F437" s="212"/>
      <c r="G437" s="212"/>
      <c r="H437" s="253"/>
      <c r="I437" s="252"/>
      <c r="J437" s="212"/>
      <c r="K437" s="212"/>
      <c r="L437" s="212"/>
      <c r="M437" s="212"/>
      <c r="N437" s="253"/>
    </row>
    <row r="438" spans="1:14">
      <c r="A438" s="253"/>
      <c r="B438" s="252"/>
      <c r="C438" s="212"/>
      <c r="D438" s="212"/>
      <c r="E438" s="212"/>
      <c r="F438" s="212"/>
      <c r="G438" s="212"/>
      <c r="H438" s="253"/>
      <c r="I438" s="252"/>
      <c r="J438" s="212"/>
      <c r="K438" s="212"/>
      <c r="L438" s="212"/>
      <c r="M438" s="212"/>
      <c r="N438" s="253"/>
    </row>
    <row r="439" spans="1:14">
      <c r="A439" s="253"/>
      <c r="B439" s="252"/>
      <c r="C439" s="212"/>
      <c r="D439" s="212"/>
      <c r="E439" s="212"/>
      <c r="F439" s="212"/>
      <c r="G439" s="212"/>
      <c r="H439" s="253"/>
      <c r="I439" s="252"/>
      <c r="J439" s="212"/>
      <c r="K439" s="212"/>
      <c r="L439" s="212"/>
      <c r="M439" s="212"/>
      <c r="N439" s="253"/>
    </row>
    <row r="440" spans="1:14">
      <c r="A440" s="253"/>
      <c r="B440" s="252"/>
      <c r="C440" s="212"/>
      <c r="D440" s="212"/>
      <c r="E440" s="212"/>
      <c r="F440" s="212"/>
      <c r="G440" s="212"/>
      <c r="H440" s="253"/>
      <c r="I440" s="252"/>
      <c r="J440" s="212"/>
      <c r="K440" s="212"/>
      <c r="L440" s="212"/>
      <c r="M440" s="212"/>
      <c r="N440" s="253"/>
    </row>
    <row r="441" spans="1:14">
      <c r="A441" s="253"/>
      <c r="B441" s="252"/>
      <c r="C441" s="212"/>
      <c r="D441" s="212"/>
      <c r="E441" s="212"/>
      <c r="F441" s="212"/>
      <c r="G441" s="212"/>
      <c r="H441" s="253"/>
      <c r="I441" s="252"/>
      <c r="J441" s="212"/>
      <c r="K441" s="212"/>
      <c r="L441" s="212"/>
      <c r="M441" s="212"/>
      <c r="N441" s="253"/>
    </row>
    <row r="442" spans="1:14">
      <c r="A442" s="253"/>
      <c r="B442" s="252"/>
      <c r="C442" s="212"/>
      <c r="D442" s="212"/>
      <c r="E442" s="212"/>
      <c r="F442" s="212"/>
      <c r="G442" s="212"/>
      <c r="H442" s="253"/>
      <c r="I442" s="252"/>
      <c r="J442" s="212"/>
      <c r="K442" s="212"/>
      <c r="L442" s="212"/>
      <c r="M442" s="212"/>
      <c r="N442" s="253"/>
    </row>
    <row r="443" spans="1:14">
      <c r="A443" s="253"/>
      <c r="B443" s="252"/>
      <c r="C443" s="212"/>
      <c r="D443" s="212"/>
      <c r="E443" s="212"/>
      <c r="F443" s="212"/>
      <c r="G443" s="212"/>
      <c r="H443" s="253"/>
      <c r="I443" s="252"/>
      <c r="J443" s="212"/>
      <c r="K443" s="212"/>
      <c r="L443" s="212"/>
      <c r="M443" s="212"/>
      <c r="N443" s="253"/>
    </row>
    <row r="444" spans="1:14">
      <c r="A444" s="253"/>
      <c r="B444" s="252"/>
      <c r="C444" s="212"/>
      <c r="D444" s="212"/>
      <c r="E444" s="212"/>
      <c r="F444" s="212"/>
      <c r="G444" s="212"/>
      <c r="H444" s="253"/>
      <c r="I444" s="252"/>
      <c r="J444" s="212"/>
      <c r="K444" s="212"/>
      <c r="L444" s="212"/>
      <c r="M444" s="212"/>
      <c r="N444" s="253"/>
    </row>
    <row r="445" spans="1:14">
      <c r="A445" s="253"/>
      <c r="B445" s="252"/>
      <c r="C445" s="212"/>
      <c r="D445" s="212"/>
      <c r="E445" s="212"/>
      <c r="F445" s="212"/>
      <c r="G445" s="212"/>
      <c r="H445" s="253"/>
      <c r="I445" s="252"/>
      <c r="J445" s="212"/>
      <c r="K445" s="212"/>
      <c r="L445" s="212"/>
      <c r="M445" s="212"/>
      <c r="N445" s="253"/>
    </row>
    <row r="446" spans="1:14">
      <c r="A446" s="253"/>
      <c r="B446" s="252"/>
      <c r="C446" s="212"/>
      <c r="D446" s="212"/>
      <c r="E446" s="212"/>
      <c r="F446" s="212"/>
      <c r="G446" s="212"/>
      <c r="H446" s="253"/>
      <c r="I446" s="252"/>
      <c r="J446" s="212"/>
      <c r="K446" s="212"/>
      <c r="L446" s="212"/>
      <c r="M446" s="212"/>
      <c r="N446" s="253"/>
    </row>
    <row r="447" spans="1:14">
      <c r="A447" s="253"/>
      <c r="B447" s="252"/>
      <c r="C447" s="212"/>
      <c r="D447" s="212"/>
      <c r="E447" s="212"/>
      <c r="F447" s="212"/>
      <c r="G447" s="212"/>
      <c r="H447" s="253"/>
      <c r="I447" s="252"/>
      <c r="J447" s="212"/>
      <c r="K447" s="212"/>
      <c r="L447" s="212"/>
      <c r="M447" s="212"/>
      <c r="N447" s="253"/>
    </row>
    <row r="448" spans="1:14">
      <c r="A448" s="253"/>
      <c r="B448" s="252"/>
      <c r="C448" s="251"/>
      <c r="D448" s="251"/>
      <c r="E448" s="251"/>
      <c r="F448" s="251"/>
      <c r="G448" s="251"/>
      <c r="H448" s="253"/>
      <c r="I448" s="252"/>
      <c r="J448" s="251"/>
      <c r="K448" s="251"/>
      <c r="L448" s="251"/>
      <c r="M448" s="251"/>
      <c r="N448" s="253"/>
    </row>
    <row r="449" spans="1:14">
      <c r="A449" s="253"/>
      <c r="B449" s="253"/>
      <c r="C449" s="251"/>
      <c r="D449" s="253"/>
      <c r="E449" s="253"/>
      <c r="F449" s="253"/>
      <c r="G449" s="253"/>
      <c r="H449" s="253"/>
      <c r="I449" s="253"/>
      <c r="J449" s="251"/>
      <c r="K449" s="253"/>
      <c r="L449" s="253"/>
      <c r="M449" s="253"/>
      <c r="N449" s="253"/>
    </row>
    <row r="450" spans="1:14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</row>
    <row r="451" spans="1:14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</row>
    <row r="452" spans="1:14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</row>
    <row r="453" spans="1:14">
      <c r="A453" s="253"/>
      <c r="B453" s="254"/>
      <c r="C453" s="253"/>
      <c r="D453" s="253"/>
      <c r="E453" s="253"/>
      <c r="F453" s="253"/>
      <c r="G453" s="253"/>
      <c r="H453" s="253"/>
      <c r="I453" s="253"/>
      <c r="J453" s="253"/>
      <c r="K453" s="253"/>
      <c r="L453" s="253"/>
      <c r="M453" s="253"/>
      <c r="N453" s="253"/>
    </row>
    <row r="454" spans="1:14">
      <c r="A454" s="253"/>
      <c r="B454" s="253"/>
      <c r="C454" s="253"/>
      <c r="D454" s="253"/>
      <c r="E454" s="253"/>
      <c r="F454" s="253"/>
      <c r="G454" s="253"/>
      <c r="H454" s="253"/>
      <c r="I454" s="253"/>
      <c r="J454" s="253"/>
      <c r="K454" s="253"/>
      <c r="L454" s="253"/>
      <c r="M454" s="253"/>
      <c r="N454" s="253"/>
    </row>
    <row r="455" spans="1:14">
      <c r="A455" s="253"/>
      <c r="B455" s="253"/>
      <c r="C455" s="253"/>
      <c r="D455" s="253"/>
      <c r="E455" s="253"/>
      <c r="F455" s="253"/>
      <c r="G455" s="253"/>
      <c r="H455" s="253"/>
      <c r="I455" s="253"/>
      <c r="J455" s="253"/>
      <c r="K455" s="253"/>
      <c r="L455" s="253"/>
      <c r="M455" s="253"/>
      <c r="N455" s="253"/>
    </row>
    <row r="456" spans="1:14">
      <c r="A456" s="253"/>
      <c r="B456" s="252"/>
      <c r="C456" s="212"/>
      <c r="D456" s="212"/>
      <c r="E456" s="212"/>
      <c r="F456" s="212"/>
      <c r="G456" s="212"/>
      <c r="H456" s="253"/>
      <c r="I456" s="252"/>
      <c r="J456" s="212"/>
      <c r="K456" s="212"/>
      <c r="L456" s="212"/>
      <c r="M456" s="212"/>
      <c r="N456" s="253"/>
    </row>
    <row r="457" spans="1:14">
      <c r="A457" s="253"/>
      <c r="B457" s="252"/>
      <c r="C457" s="212"/>
      <c r="D457" s="212"/>
      <c r="E457" s="212"/>
      <c r="F457" s="212"/>
      <c r="G457" s="212"/>
      <c r="H457" s="253"/>
      <c r="I457" s="252"/>
      <c r="J457" s="212"/>
      <c r="K457" s="212"/>
      <c r="L457" s="212"/>
      <c r="M457" s="212"/>
      <c r="N457" s="253"/>
    </row>
    <row r="458" spans="1:14">
      <c r="A458" s="253"/>
      <c r="B458" s="252"/>
      <c r="C458" s="212"/>
      <c r="D458" s="212"/>
      <c r="E458" s="212"/>
      <c r="F458" s="212"/>
      <c r="G458" s="212"/>
      <c r="H458" s="253"/>
      <c r="I458" s="252"/>
      <c r="J458" s="212"/>
      <c r="K458" s="212"/>
      <c r="L458" s="212"/>
      <c r="M458" s="212"/>
      <c r="N458" s="253"/>
    </row>
    <row r="459" spans="1:14">
      <c r="A459" s="253"/>
      <c r="B459" s="252"/>
      <c r="C459" s="212"/>
      <c r="D459" s="212"/>
      <c r="E459" s="212"/>
      <c r="F459" s="212"/>
      <c r="G459" s="212"/>
      <c r="H459" s="253"/>
      <c r="I459" s="252"/>
      <c r="J459" s="212"/>
      <c r="K459" s="212"/>
      <c r="L459" s="212"/>
      <c r="M459" s="212"/>
      <c r="N459" s="253"/>
    </row>
    <row r="460" spans="1:14">
      <c r="A460" s="253"/>
      <c r="B460" s="252"/>
      <c r="C460" s="212"/>
      <c r="D460" s="212"/>
      <c r="E460" s="212"/>
      <c r="F460" s="212"/>
      <c r="G460" s="212"/>
      <c r="H460" s="253"/>
      <c r="I460" s="252"/>
      <c r="J460" s="212"/>
      <c r="K460" s="212"/>
      <c r="L460" s="212"/>
      <c r="M460" s="212"/>
      <c r="N460" s="253"/>
    </row>
    <row r="461" spans="1:14">
      <c r="A461" s="253"/>
      <c r="B461" s="252"/>
      <c r="C461" s="212"/>
      <c r="D461" s="212"/>
      <c r="E461" s="212"/>
      <c r="F461" s="212"/>
      <c r="G461" s="212"/>
      <c r="H461" s="253"/>
      <c r="I461" s="252"/>
      <c r="J461" s="212"/>
      <c r="K461" s="212"/>
      <c r="L461" s="212"/>
      <c r="M461" s="212"/>
      <c r="N461" s="253"/>
    </row>
    <row r="462" spans="1:14">
      <c r="A462" s="253"/>
      <c r="B462" s="252"/>
      <c r="C462" s="212"/>
      <c r="D462" s="212"/>
      <c r="E462" s="212"/>
      <c r="F462" s="212"/>
      <c r="G462" s="212"/>
      <c r="H462" s="253"/>
      <c r="I462" s="252"/>
      <c r="J462" s="212"/>
      <c r="K462" s="212"/>
      <c r="L462" s="212"/>
      <c r="M462" s="212"/>
      <c r="N462" s="253"/>
    </row>
    <row r="463" spans="1:14">
      <c r="A463" s="253"/>
      <c r="B463" s="252"/>
      <c r="C463" s="212"/>
      <c r="D463" s="212"/>
      <c r="E463" s="212"/>
      <c r="F463" s="212"/>
      <c r="G463" s="212"/>
      <c r="H463" s="253"/>
      <c r="I463" s="252"/>
      <c r="J463" s="212"/>
      <c r="K463" s="212"/>
      <c r="L463" s="212"/>
      <c r="M463" s="212"/>
      <c r="N463" s="253"/>
    </row>
    <row r="464" spans="1:14">
      <c r="A464" s="253"/>
      <c r="B464" s="252"/>
      <c r="C464" s="212"/>
      <c r="D464" s="212"/>
      <c r="E464" s="212"/>
      <c r="F464" s="212"/>
      <c r="G464" s="212"/>
      <c r="H464" s="253"/>
      <c r="I464" s="252"/>
      <c r="J464" s="212"/>
      <c r="K464" s="212"/>
      <c r="L464" s="212"/>
      <c r="M464" s="212"/>
      <c r="N464" s="253"/>
    </row>
    <row r="465" spans="1:14">
      <c r="A465" s="253"/>
      <c r="B465" s="252"/>
      <c r="C465" s="212"/>
      <c r="D465" s="212"/>
      <c r="E465" s="212"/>
      <c r="F465" s="212"/>
      <c r="G465" s="212"/>
      <c r="H465" s="253"/>
      <c r="I465" s="252"/>
      <c r="J465" s="212"/>
      <c r="K465" s="212"/>
      <c r="L465" s="212"/>
      <c r="M465" s="212"/>
      <c r="N465" s="253"/>
    </row>
    <row r="466" spans="1:14">
      <c r="A466" s="253"/>
      <c r="B466" s="252"/>
      <c r="C466" s="212"/>
      <c r="D466" s="212"/>
      <c r="E466" s="212"/>
      <c r="F466" s="212"/>
      <c r="G466" s="212"/>
      <c r="H466" s="253"/>
      <c r="I466" s="252"/>
      <c r="J466" s="212"/>
      <c r="K466" s="212"/>
      <c r="L466" s="212"/>
      <c r="M466" s="212"/>
      <c r="N466" s="253"/>
    </row>
    <row r="467" spans="1:14">
      <c r="A467" s="253"/>
      <c r="B467" s="252"/>
      <c r="C467" s="212"/>
      <c r="D467" s="212"/>
      <c r="E467" s="212"/>
      <c r="F467" s="212"/>
      <c r="G467" s="212"/>
      <c r="H467" s="253"/>
      <c r="I467" s="252"/>
      <c r="J467" s="212"/>
      <c r="K467" s="212"/>
      <c r="L467" s="212"/>
      <c r="M467" s="212"/>
      <c r="N467" s="253"/>
    </row>
    <row r="468" spans="1:14">
      <c r="A468" s="253"/>
      <c r="B468" s="252"/>
      <c r="C468" s="251"/>
      <c r="D468" s="251"/>
      <c r="E468" s="251"/>
      <c r="F468" s="251"/>
      <c r="G468" s="251"/>
      <c r="H468" s="253"/>
      <c r="I468" s="252"/>
      <c r="J468" s="251"/>
      <c r="K468" s="251"/>
      <c r="L468" s="251"/>
      <c r="M468" s="251"/>
      <c r="N468" s="253"/>
    </row>
    <row r="469" spans="1:14">
      <c r="A469" s="253"/>
      <c r="B469" s="253"/>
      <c r="C469" s="251"/>
      <c r="D469" s="253"/>
      <c r="E469" s="253"/>
      <c r="F469" s="253"/>
      <c r="G469" s="253"/>
      <c r="H469" s="253"/>
      <c r="I469" s="253"/>
      <c r="J469" s="251"/>
      <c r="K469" s="253"/>
      <c r="L469" s="253"/>
      <c r="M469" s="253"/>
      <c r="N469" s="253"/>
    </row>
    <row r="470" spans="1:14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</row>
    <row r="471" spans="1:14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</row>
    <row r="472" spans="1:14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</row>
    <row r="473" spans="1:14">
      <c r="A473" s="253"/>
      <c r="B473" s="254"/>
      <c r="C473" s="253"/>
      <c r="D473" s="253"/>
      <c r="E473" s="253"/>
      <c r="F473" s="253"/>
      <c r="G473" s="253"/>
      <c r="H473" s="253"/>
      <c r="I473" s="253"/>
      <c r="J473" s="253"/>
      <c r="K473" s="253"/>
      <c r="L473" s="253"/>
      <c r="M473" s="253"/>
      <c r="N473" s="253"/>
    </row>
    <row r="474" spans="1:14">
      <c r="A474" s="253"/>
      <c r="B474" s="253"/>
      <c r="C474" s="253"/>
      <c r="D474" s="253"/>
      <c r="E474" s="253"/>
      <c r="F474" s="253"/>
      <c r="G474" s="253"/>
      <c r="H474" s="253"/>
      <c r="I474" s="253"/>
      <c r="J474" s="253"/>
      <c r="K474" s="253"/>
      <c r="L474" s="253"/>
      <c r="M474" s="253"/>
      <c r="N474" s="253"/>
    </row>
    <row r="475" spans="1:14">
      <c r="A475" s="253"/>
      <c r="B475" s="253"/>
      <c r="C475" s="253"/>
      <c r="D475" s="253"/>
      <c r="E475" s="253"/>
      <c r="F475" s="253"/>
      <c r="G475" s="253"/>
      <c r="H475" s="253"/>
      <c r="I475" s="253"/>
      <c r="J475" s="253"/>
      <c r="K475" s="253"/>
      <c r="L475" s="253"/>
      <c r="M475" s="253"/>
      <c r="N475" s="253"/>
    </row>
    <row r="476" spans="1:14">
      <c r="A476" s="253"/>
      <c r="B476" s="252"/>
      <c r="C476" s="212"/>
      <c r="D476" s="212"/>
      <c r="E476" s="212"/>
      <c r="F476" s="212"/>
      <c r="G476" s="212"/>
      <c r="H476" s="253"/>
      <c r="I476" s="252"/>
      <c r="J476" s="212"/>
      <c r="K476" s="212"/>
      <c r="L476" s="212"/>
      <c r="M476" s="212"/>
      <c r="N476" s="253"/>
    </row>
    <row r="477" spans="1:14">
      <c r="A477" s="253"/>
      <c r="B477" s="252"/>
      <c r="C477" s="212"/>
      <c r="D477" s="212"/>
      <c r="E477" s="212"/>
      <c r="F477" s="212"/>
      <c r="G477" s="212"/>
      <c r="H477" s="253"/>
      <c r="I477" s="252"/>
      <c r="J477" s="212"/>
      <c r="K477" s="212"/>
      <c r="L477" s="212"/>
      <c r="M477" s="212"/>
      <c r="N477" s="253"/>
    </row>
    <row r="478" spans="1:14">
      <c r="A478" s="253"/>
      <c r="B478" s="252"/>
      <c r="C478" s="212"/>
      <c r="D478" s="212"/>
      <c r="E478" s="212"/>
      <c r="F478" s="212"/>
      <c r="G478" s="212"/>
      <c r="H478" s="253"/>
      <c r="I478" s="252"/>
      <c r="J478" s="212"/>
      <c r="K478" s="212"/>
      <c r="L478" s="212"/>
      <c r="M478" s="212"/>
      <c r="N478" s="253"/>
    </row>
    <row r="479" spans="1:14">
      <c r="A479" s="253"/>
      <c r="B479" s="252"/>
      <c r="C479" s="212"/>
      <c r="D479" s="212"/>
      <c r="E479" s="212"/>
      <c r="F479" s="212"/>
      <c r="G479" s="212"/>
      <c r="H479" s="253"/>
      <c r="I479" s="252"/>
      <c r="J479" s="212"/>
      <c r="K479" s="212"/>
      <c r="L479" s="212"/>
      <c r="M479" s="212"/>
      <c r="N479" s="253"/>
    </row>
    <row r="480" spans="1:14">
      <c r="A480" s="253"/>
      <c r="B480" s="252"/>
      <c r="C480" s="212"/>
      <c r="D480" s="212"/>
      <c r="E480" s="212"/>
      <c r="F480" s="212"/>
      <c r="G480" s="212"/>
      <c r="H480" s="253"/>
      <c r="I480" s="252"/>
      <c r="J480" s="212"/>
      <c r="K480" s="212"/>
      <c r="L480" s="212"/>
      <c r="M480" s="212"/>
      <c r="N480" s="253"/>
    </row>
    <row r="481" spans="1:14">
      <c r="A481" s="253"/>
      <c r="B481" s="252"/>
      <c r="C481" s="212"/>
      <c r="D481" s="212"/>
      <c r="E481" s="212"/>
      <c r="F481" s="212"/>
      <c r="G481" s="212"/>
      <c r="H481" s="253"/>
      <c r="I481" s="252"/>
      <c r="J481" s="212"/>
      <c r="K481" s="212"/>
      <c r="L481" s="212"/>
      <c r="M481" s="212"/>
      <c r="N481" s="253"/>
    </row>
    <row r="482" spans="1:14">
      <c r="A482" s="253"/>
      <c r="B482" s="252"/>
      <c r="C482" s="212"/>
      <c r="D482" s="212"/>
      <c r="E482" s="212"/>
      <c r="F482" s="212"/>
      <c r="G482" s="212"/>
      <c r="H482" s="253"/>
      <c r="I482" s="252"/>
      <c r="J482" s="212"/>
      <c r="K482" s="212"/>
      <c r="L482" s="212"/>
      <c r="M482" s="212"/>
      <c r="N482" s="253"/>
    </row>
    <row r="483" spans="1:14">
      <c r="A483" s="253"/>
      <c r="B483" s="252"/>
      <c r="C483" s="212"/>
      <c r="D483" s="212"/>
      <c r="E483" s="212"/>
      <c r="F483" s="212"/>
      <c r="G483" s="212"/>
      <c r="H483" s="253"/>
      <c r="I483" s="252"/>
      <c r="J483" s="212"/>
      <c r="K483" s="212"/>
      <c r="L483" s="212"/>
      <c r="M483" s="212"/>
      <c r="N483" s="253"/>
    </row>
    <row r="484" spans="1:14">
      <c r="A484" s="253"/>
      <c r="B484" s="252"/>
      <c r="C484" s="212"/>
      <c r="D484" s="212"/>
      <c r="E484" s="212"/>
      <c r="F484" s="212"/>
      <c r="G484" s="212"/>
      <c r="H484" s="253"/>
      <c r="I484" s="252"/>
      <c r="J484" s="212"/>
      <c r="K484" s="212"/>
      <c r="L484" s="212"/>
      <c r="M484" s="212"/>
      <c r="N484" s="253"/>
    </row>
    <row r="485" spans="1:14">
      <c r="A485" s="253"/>
      <c r="B485" s="252"/>
      <c r="C485" s="212"/>
      <c r="D485" s="212"/>
      <c r="E485" s="212"/>
      <c r="F485" s="212"/>
      <c r="G485" s="212"/>
      <c r="H485" s="253"/>
      <c r="I485" s="252"/>
      <c r="J485" s="212"/>
      <c r="K485" s="212"/>
      <c r="L485" s="212"/>
      <c r="M485" s="212"/>
      <c r="N485" s="253"/>
    </row>
    <row r="486" spans="1:14">
      <c r="A486" s="253"/>
      <c r="B486" s="252"/>
      <c r="C486" s="212"/>
      <c r="D486" s="212"/>
      <c r="E486" s="212"/>
      <c r="F486" s="212"/>
      <c r="G486" s="212"/>
      <c r="H486" s="253"/>
      <c r="I486" s="252"/>
      <c r="J486" s="212"/>
      <c r="K486" s="212"/>
      <c r="L486" s="212"/>
      <c r="M486" s="212"/>
      <c r="N486" s="253"/>
    </row>
    <row r="487" spans="1:14">
      <c r="A487" s="253"/>
      <c r="B487" s="252"/>
      <c r="C487" s="212"/>
      <c r="D487" s="212"/>
      <c r="E487" s="212"/>
      <c r="F487" s="212"/>
      <c r="G487" s="212"/>
      <c r="H487" s="253"/>
      <c r="I487" s="252"/>
      <c r="J487" s="212"/>
      <c r="K487" s="212"/>
      <c r="L487" s="212"/>
      <c r="M487" s="212"/>
      <c r="N487" s="253"/>
    </row>
    <row r="488" spans="1:14">
      <c r="A488" s="253"/>
      <c r="B488" s="252"/>
      <c r="C488" s="251"/>
      <c r="D488" s="251"/>
      <c r="E488" s="251"/>
      <c r="F488" s="251"/>
      <c r="G488" s="251"/>
      <c r="H488" s="253"/>
      <c r="I488" s="252"/>
      <c r="J488" s="251"/>
      <c r="K488" s="251"/>
      <c r="L488" s="251"/>
      <c r="M488" s="251"/>
      <c r="N488" s="253"/>
    </row>
    <row r="489" spans="1:14">
      <c r="A489" s="253"/>
      <c r="B489" s="253"/>
      <c r="C489" s="251"/>
      <c r="D489" s="253"/>
      <c r="E489" s="253"/>
      <c r="F489" s="253"/>
      <c r="G489" s="253"/>
      <c r="H489" s="253"/>
      <c r="I489" s="253"/>
      <c r="J489" s="251"/>
      <c r="K489" s="253"/>
      <c r="L489" s="253"/>
      <c r="M489" s="253"/>
      <c r="N489" s="253"/>
    </row>
    <row r="490" spans="1:14">
      <c r="A490" s="211"/>
      <c r="B490" s="211"/>
      <c r="C490" s="211"/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</row>
    <row r="491" spans="1:14">
      <c r="A491" s="211"/>
      <c r="B491" s="211"/>
      <c r="C491" s="211"/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</row>
    <row r="492" spans="1:14">
      <c r="A492" s="211"/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</row>
    <row r="493" spans="1:14">
      <c r="A493" s="253"/>
      <c r="B493" s="254"/>
      <c r="C493" s="253"/>
      <c r="D493" s="253"/>
      <c r="E493" s="253"/>
      <c r="F493" s="253"/>
      <c r="G493" s="253"/>
      <c r="H493" s="253"/>
      <c r="I493" s="253"/>
      <c r="J493" s="253"/>
      <c r="K493" s="253"/>
      <c r="L493" s="253"/>
      <c r="M493" s="253"/>
      <c r="N493" s="253"/>
    </row>
    <row r="494" spans="1:14">
      <c r="A494" s="253"/>
      <c r="B494" s="253"/>
      <c r="C494" s="253"/>
      <c r="D494" s="253"/>
      <c r="E494" s="253"/>
      <c r="F494" s="253"/>
      <c r="G494" s="253"/>
      <c r="H494" s="253"/>
      <c r="I494" s="253"/>
      <c r="J494" s="253"/>
      <c r="K494" s="253"/>
      <c r="L494" s="253"/>
      <c r="M494" s="253"/>
      <c r="N494" s="253"/>
    </row>
    <row r="495" spans="1:14">
      <c r="A495" s="253"/>
      <c r="B495" s="253"/>
      <c r="C495" s="253"/>
      <c r="D495" s="253"/>
      <c r="E495" s="253"/>
      <c r="F495" s="253"/>
      <c r="G495" s="253"/>
      <c r="H495" s="253"/>
      <c r="I495" s="253"/>
      <c r="J495" s="253"/>
      <c r="K495" s="253"/>
      <c r="L495" s="253"/>
      <c r="M495" s="253"/>
      <c r="N495" s="253"/>
    </row>
    <row r="496" spans="1:14">
      <c r="A496" s="253"/>
      <c r="B496" s="252"/>
      <c r="C496" s="212"/>
      <c r="D496" s="212"/>
      <c r="E496" s="212"/>
      <c r="F496" s="212"/>
      <c r="G496" s="212"/>
      <c r="H496" s="253"/>
      <c r="I496" s="252"/>
      <c r="J496" s="212"/>
      <c r="K496" s="212"/>
      <c r="L496" s="212"/>
      <c r="M496" s="212"/>
      <c r="N496" s="253"/>
    </row>
    <row r="497" spans="1:14">
      <c r="A497" s="253"/>
      <c r="B497" s="252"/>
      <c r="C497" s="212"/>
      <c r="D497" s="212"/>
      <c r="E497" s="212"/>
      <c r="F497" s="212"/>
      <c r="G497" s="212"/>
      <c r="H497" s="253"/>
      <c r="I497" s="252"/>
      <c r="J497" s="212"/>
      <c r="K497" s="212"/>
      <c r="L497" s="212"/>
      <c r="M497" s="212"/>
      <c r="N497" s="253"/>
    </row>
    <row r="498" spans="1:14">
      <c r="A498" s="253"/>
      <c r="B498" s="252"/>
      <c r="C498" s="212"/>
      <c r="D498" s="212"/>
      <c r="E498" s="212"/>
      <c r="F498" s="212"/>
      <c r="G498" s="212"/>
      <c r="H498" s="253"/>
      <c r="I498" s="252"/>
      <c r="J498" s="212"/>
      <c r="K498" s="212"/>
      <c r="L498" s="212"/>
      <c r="M498" s="212"/>
      <c r="N498" s="253"/>
    </row>
    <row r="499" spans="1:14">
      <c r="A499" s="253"/>
      <c r="B499" s="252"/>
      <c r="C499" s="212"/>
      <c r="D499" s="212"/>
      <c r="E499" s="212"/>
      <c r="F499" s="212"/>
      <c r="G499" s="212"/>
      <c r="H499" s="253"/>
      <c r="I499" s="252"/>
      <c r="J499" s="212"/>
      <c r="K499" s="212"/>
      <c r="L499" s="212"/>
      <c r="M499" s="212"/>
      <c r="N499" s="253"/>
    </row>
    <row r="500" spans="1:14">
      <c r="A500" s="253"/>
      <c r="B500" s="252"/>
      <c r="C500" s="212"/>
      <c r="D500" s="212"/>
      <c r="E500" s="212"/>
      <c r="F500" s="212"/>
      <c r="G500" s="212"/>
      <c r="H500" s="253"/>
      <c r="I500" s="252"/>
      <c r="J500" s="212"/>
      <c r="K500" s="212"/>
      <c r="L500" s="212"/>
      <c r="M500" s="212"/>
      <c r="N500" s="253"/>
    </row>
    <row r="501" spans="1:14">
      <c r="A501" s="253"/>
      <c r="B501" s="252"/>
      <c r="C501" s="212"/>
      <c r="D501" s="212"/>
      <c r="E501" s="212"/>
      <c r="F501" s="212"/>
      <c r="G501" s="212"/>
      <c r="H501" s="253"/>
      <c r="I501" s="252"/>
      <c r="J501" s="212"/>
      <c r="K501" s="212"/>
      <c r="L501" s="212"/>
      <c r="M501" s="212"/>
      <c r="N501" s="253"/>
    </row>
    <row r="502" spans="1:14">
      <c r="A502" s="253"/>
      <c r="B502" s="252"/>
      <c r="C502" s="212"/>
      <c r="D502" s="212"/>
      <c r="E502" s="212"/>
      <c r="F502" s="212"/>
      <c r="G502" s="212"/>
      <c r="H502" s="253"/>
      <c r="I502" s="252"/>
      <c r="J502" s="212"/>
      <c r="K502" s="212"/>
      <c r="L502" s="212"/>
      <c r="M502" s="212"/>
      <c r="N502" s="253"/>
    </row>
    <row r="503" spans="1:14">
      <c r="A503" s="253"/>
      <c r="B503" s="252"/>
      <c r="C503" s="212"/>
      <c r="D503" s="212"/>
      <c r="E503" s="212"/>
      <c r="F503" s="212"/>
      <c r="G503" s="212"/>
      <c r="H503" s="253"/>
      <c r="I503" s="252"/>
      <c r="J503" s="212"/>
      <c r="K503" s="212"/>
      <c r="L503" s="212"/>
      <c r="M503" s="212"/>
      <c r="N503" s="253"/>
    </row>
    <row r="504" spans="1:14">
      <c r="A504" s="253"/>
      <c r="B504" s="252"/>
      <c r="C504" s="212"/>
      <c r="D504" s="212"/>
      <c r="E504" s="212"/>
      <c r="F504" s="212"/>
      <c r="G504" s="212"/>
      <c r="H504" s="253"/>
      <c r="I504" s="252"/>
      <c r="J504" s="212"/>
      <c r="K504" s="212"/>
      <c r="L504" s="212"/>
      <c r="M504" s="212"/>
      <c r="N504" s="253"/>
    </row>
    <row r="505" spans="1:14">
      <c r="A505" s="253"/>
      <c r="B505" s="252"/>
      <c r="C505" s="212"/>
      <c r="D505" s="212"/>
      <c r="E505" s="212"/>
      <c r="F505" s="212"/>
      <c r="G505" s="212"/>
      <c r="H505" s="253"/>
      <c r="I505" s="252"/>
      <c r="J505" s="212"/>
      <c r="K505" s="212"/>
      <c r="L505" s="212"/>
      <c r="M505" s="212"/>
      <c r="N505" s="253"/>
    </row>
    <row r="506" spans="1:14">
      <c r="A506" s="253"/>
      <c r="B506" s="252"/>
      <c r="C506" s="212"/>
      <c r="D506" s="212"/>
      <c r="E506" s="212"/>
      <c r="F506" s="212"/>
      <c r="G506" s="212"/>
      <c r="H506" s="253"/>
      <c r="I506" s="252"/>
      <c r="J506" s="212"/>
      <c r="K506" s="212"/>
      <c r="L506" s="212"/>
      <c r="M506" s="212"/>
      <c r="N506" s="253"/>
    </row>
    <row r="507" spans="1:14">
      <c r="A507" s="253"/>
      <c r="B507" s="252"/>
      <c r="C507" s="212"/>
      <c r="D507" s="212"/>
      <c r="E507" s="212"/>
      <c r="F507" s="212"/>
      <c r="G507" s="212"/>
      <c r="H507" s="253"/>
      <c r="I507" s="252"/>
      <c r="J507" s="212"/>
      <c r="K507" s="212"/>
      <c r="L507" s="212"/>
      <c r="M507" s="212"/>
      <c r="N507" s="253"/>
    </row>
    <row r="508" spans="1:14">
      <c r="A508" s="253"/>
      <c r="B508" s="252"/>
      <c r="C508" s="251"/>
      <c r="D508" s="251"/>
      <c r="E508" s="251"/>
      <c r="F508" s="251"/>
      <c r="G508" s="251"/>
      <c r="H508" s="253"/>
      <c r="I508" s="252"/>
      <c r="J508" s="251"/>
      <c r="K508" s="251"/>
      <c r="L508" s="251"/>
      <c r="M508" s="251"/>
      <c r="N508" s="253"/>
    </row>
    <row r="509" spans="1:14">
      <c r="A509" s="253"/>
      <c r="B509" s="253"/>
      <c r="C509" s="251"/>
      <c r="D509" s="253"/>
      <c r="E509" s="253"/>
      <c r="F509" s="253"/>
      <c r="G509" s="253"/>
      <c r="H509" s="253"/>
      <c r="I509" s="253"/>
      <c r="J509" s="251"/>
      <c r="K509" s="253"/>
      <c r="L509" s="253"/>
      <c r="M509" s="253"/>
      <c r="N509" s="253"/>
    </row>
    <row r="510" spans="1:14">
      <c r="A510" s="211"/>
      <c r="B510" s="211"/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</row>
    <row r="511" spans="1:14">
      <c r="A511" s="211"/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</row>
    <row r="512" spans="1:14">
      <c r="A512" s="211"/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1"/>
      <c r="M512" s="211"/>
      <c r="N512" s="211"/>
    </row>
    <row r="513" spans="1:14">
      <c r="A513" s="253"/>
      <c r="B513" s="254"/>
      <c r="C513" s="253"/>
      <c r="D513" s="253"/>
      <c r="E513" s="253"/>
      <c r="F513" s="253"/>
      <c r="G513" s="253"/>
      <c r="H513" s="253"/>
      <c r="I513" s="253"/>
      <c r="J513" s="253"/>
      <c r="K513" s="253"/>
      <c r="L513" s="253"/>
      <c r="M513" s="253"/>
      <c r="N513" s="253"/>
    </row>
    <row r="514" spans="1:14">
      <c r="A514" s="253"/>
      <c r="B514" s="253"/>
      <c r="C514" s="253"/>
      <c r="D514" s="253"/>
      <c r="E514" s="253"/>
      <c r="F514" s="253"/>
      <c r="G514" s="253"/>
      <c r="H514" s="253"/>
      <c r="I514" s="253"/>
      <c r="J514" s="253"/>
      <c r="K514" s="253"/>
      <c r="L514" s="253"/>
      <c r="M514" s="253"/>
      <c r="N514" s="253"/>
    </row>
    <row r="515" spans="1:14">
      <c r="A515" s="253"/>
      <c r="B515" s="253"/>
      <c r="C515" s="253"/>
      <c r="D515" s="253"/>
      <c r="E515" s="253"/>
      <c r="F515" s="253"/>
      <c r="G515" s="253"/>
      <c r="H515" s="253"/>
      <c r="I515" s="253"/>
      <c r="J515" s="253"/>
      <c r="K515" s="253"/>
      <c r="L515" s="253"/>
      <c r="M515" s="253"/>
      <c r="N515" s="253"/>
    </row>
    <row r="516" spans="1:14">
      <c r="A516" s="253"/>
      <c r="B516" s="252"/>
      <c r="C516" s="212"/>
      <c r="D516" s="212"/>
      <c r="E516" s="212"/>
      <c r="F516" s="212"/>
      <c r="G516" s="212"/>
      <c r="H516" s="253"/>
      <c r="I516" s="252"/>
      <c r="J516" s="212"/>
      <c r="K516" s="212"/>
      <c r="L516" s="212"/>
      <c r="M516" s="212"/>
      <c r="N516" s="253"/>
    </row>
    <row r="517" spans="1:14">
      <c r="A517" s="253"/>
      <c r="B517" s="252"/>
      <c r="C517" s="212"/>
      <c r="D517" s="212"/>
      <c r="E517" s="212"/>
      <c r="F517" s="212"/>
      <c r="G517" s="212"/>
      <c r="H517" s="253"/>
      <c r="I517" s="252"/>
      <c r="J517" s="212"/>
      <c r="K517" s="212"/>
      <c r="L517" s="212"/>
      <c r="M517" s="212"/>
      <c r="N517" s="253"/>
    </row>
    <row r="518" spans="1:14">
      <c r="A518" s="253"/>
      <c r="B518" s="252"/>
      <c r="C518" s="212"/>
      <c r="D518" s="212"/>
      <c r="E518" s="212"/>
      <c r="F518" s="212"/>
      <c r="G518" s="212"/>
      <c r="H518" s="253"/>
      <c r="I518" s="252"/>
      <c r="J518" s="212"/>
      <c r="K518" s="212"/>
      <c r="L518" s="212"/>
      <c r="M518" s="212"/>
      <c r="N518" s="253"/>
    </row>
    <row r="519" spans="1:14">
      <c r="A519" s="253"/>
      <c r="B519" s="252"/>
      <c r="C519" s="212"/>
      <c r="D519" s="212"/>
      <c r="E519" s="212"/>
      <c r="F519" s="212"/>
      <c r="G519" s="212"/>
      <c r="H519" s="253"/>
      <c r="I519" s="252"/>
      <c r="J519" s="212"/>
      <c r="K519" s="212"/>
      <c r="L519" s="212"/>
      <c r="M519" s="212"/>
      <c r="N519" s="253"/>
    </row>
    <row r="520" spans="1:14">
      <c r="A520" s="253"/>
      <c r="B520" s="252"/>
      <c r="C520" s="212"/>
      <c r="D520" s="212"/>
      <c r="E520" s="212"/>
      <c r="F520" s="212"/>
      <c r="G520" s="212"/>
      <c r="H520" s="253"/>
      <c r="I520" s="252"/>
      <c r="J520" s="212"/>
      <c r="K520" s="212"/>
      <c r="L520" s="212"/>
      <c r="M520" s="212"/>
      <c r="N520" s="253"/>
    </row>
    <row r="521" spans="1:14">
      <c r="A521" s="253"/>
      <c r="B521" s="252"/>
      <c r="C521" s="212"/>
      <c r="D521" s="212"/>
      <c r="E521" s="212"/>
      <c r="F521" s="212"/>
      <c r="G521" s="212"/>
      <c r="H521" s="253"/>
      <c r="I521" s="252"/>
      <c r="J521" s="212"/>
      <c r="K521" s="212"/>
      <c r="L521" s="212"/>
      <c r="M521" s="212"/>
      <c r="N521" s="253"/>
    </row>
    <row r="522" spans="1:14">
      <c r="A522" s="253"/>
      <c r="B522" s="252"/>
      <c r="C522" s="212"/>
      <c r="D522" s="212"/>
      <c r="E522" s="212"/>
      <c r="F522" s="212"/>
      <c r="G522" s="212"/>
      <c r="H522" s="253"/>
      <c r="I522" s="252"/>
      <c r="J522" s="212"/>
      <c r="K522" s="212"/>
      <c r="L522" s="212"/>
      <c r="M522" s="212"/>
      <c r="N522" s="253"/>
    </row>
    <row r="523" spans="1:14">
      <c r="A523" s="253"/>
      <c r="B523" s="252"/>
      <c r="C523" s="212"/>
      <c r="D523" s="212"/>
      <c r="E523" s="212"/>
      <c r="F523" s="212"/>
      <c r="G523" s="212"/>
      <c r="H523" s="253"/>
      <c r="I523" s="252"/>
      <c r="J523" s="212"/>
      <c r="K523" s="212"/>
      <c r="L523" s="212"/>
      <c r="M523" s="212"/>
      <c r="N523" s="253"/>
    </row>
    <row r="524" spans="1:14">
      <c r="A524" s="253"/>
      <c r="B524" s="252"/>
      <c r="C524" s="212"/>
      <c r="D524" s="212"/>
      <c r="E524" s="212"/>
      <c r="F524" s="212"/>
      <c r="G524" s="212"/>
      <c r="H524" s="253"/>
      <c r="I524" s="252"/>
      <c r="J524" s="212"/>
      <c r="K524" s="212"/>
      <c r="L524" s="212"/>
      <c r="M524" s="212"/>
      <c r="N524" s="253"/>
    </row>
    <row r="525" spans="1:14">
      <c r="A525" s="253"/>
      <c r="B525" s="252"/>
      <c r="C525" s="212"/>
      <c r="D525" s="212"/>
      <c r="E525" s="212"/>
      <c r="F525" s="212"/>
      <c r="G525" s="212"/>
      <c r="H525" s="253"/>
      <c r="I525" s="252"/>
      <c r="J525" s="212"/>
      <c r="K525" s="212"/>
      <c r="L525" s="212"/>
      <c r="M525" s="212"/>
      <c r="N525" s="253"/>
    </row>
    <row r="526" spans="1:14">
      <c r="A526" s="253"/>
      <c r="B526" s="252"/>
      <c r="C526" s="212"/>
      <c r="D526" s="212"/>
      <c r="E526" s="212"/>
      <c r="F526" s="212"/>
      <c r="G526" s="212"/>
      <c r="H526" s="253"/>
      <c r="I526" s="252"/>
      <c r="J526" s="212"/>
      <c r="K526" s="212"/>
      <c r="L526" s="212"/>
      <c r="M526" s="212"/>
      <c r="N526" s="253"/>
    </row>
    <row r="527" spans="1:14">
      <c r="A527" s="253"/>
      <c r="B527" s="252"/>
      <c r="C527" s="212"/>
      <c r="D527" s="212"/>
      <c r="E527" s="212"/>
      <c r="F527" s="212"/>
      <c r="G527" s="212"/>
      <c r="H527" s="253"/>
      <c r="I527" s="252"/>
      <c r="J527" s="212"/>
      <c r="K527" s="212"/>
      <c r="L527" s="212"/>
      <c r="M527" s="212"/>
      <c r="N527" s="253"/>
    </row>
    <row r="528" spans="1:14">
      <c r="A528" s="253"/>
      <c r="B528" s="252"/>
      <c r="C528" s="251"/>
      <c r="D528" s="251"/>
      <c r="E528" s="251"/>
      <c r="F528" s="251"/>
      <c r="G528" s="251"/>
      <c r="H528" s="253"/>
      <c r="I528" s="252"/>
      <c r="J528" s="251"/>
      <c r="K528" s="251"/>
      <c r="L528" s="251"/>
      <c r="M528" s="251"/>
      <c r="N528" s="253"/>
    </row>
    <row r="529" spans="1:14">
      <c r="A529" s="253"/>
      <c r="B529" s="253"/>
      <c r="C529" s="251"/>
      <c r="D529" s="253"/>
      <c r="E529" s="253"/>
      <c r="F529" s="253"/>
      <c r="G529" s="253"/>
      <c r="H529" s="253"/>
      <c r="I529" s="253"/>
      <c r="J529" s="251"/>
      <c r="K529" s="253"/>
      <c r="L529" s="253"/>
      <c r="M529" s="253"/>
      <c r="N529" s="253"/>
    </row>
    <row r="530" spans="1:14">
      <c r="A530" s="211"/>
      <c r="B530" s="211"/>
      <c r="C530" s="211"/>
      <c r="D530" s="211"/>
      <c r="E530" s="211"/>
      <c r="F530" s="211"/>
      <c r="G530" s="211"/>
      <c r="H530" s="211"/>
      <c r="I530" s="211"/>
      <c r="J530" s="211"/>
      <c r="K530" s="211"/>
      <c r="L530" s="211"/>
      <c r="M530" s="211"/>
      <c r="N530" s="211"/>
    </row>
    <row r="531" spans="1:14">
      <c r="A531" s="211"/>
      <c r="B531" s="211"/>
      <c r="C531" s="211"/>
      <c r="D531" s="211"/>
      <c r="E531" s="211"/>
      <c r="F531" s="211"/>
      <c r="G531" s="211"/>
      <c r="H531" s="211"/>
      <c r="I531" s="211"/>
      <c r="J531" s="211"/>
      <c r="K531" s="211"/>
      <c r="L531" s="211"/>
      <c r="M531" s="211"/>
      <c r="N531" s="211"/>
    </row>
    <row r="532" spans="1:14">
      <c r="A532" s="211"/>
      <c r="B532" s="211"/>
      <c r="C532" s="211"/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</row>
    <row r="533" spans="1:14">
      <c r="A533" s="253"/>
      <c r="B533" s="254"/>
      <c r="C533" s="253"/>
      <c r="D533" s="253"/>
      <c r="E533" s="253"/>
      <c r="F533" s="253"/>
      <c r="G533" s="253"/>
      <c r="H533" s="253"/>
      <c r="I533" s="253"/>
      <c r="J533" s="253"/>
      <c r="K533" s="253"/>
      <c r="L533" s="253"/>
      <c r="M533" s="253"/>
      <c r="N533" s="253"/>
    </row>
    <row r="534" spans="1:14">
      <c r="A534" s="253"/>
      <c r="B534" s="253"/>
      <c r="C534" s="253"/>
      <c r="D534" s="253"/>
      <c r="E534" s="253"/>
      <c r="F534" s="253"/>
      <c r="G534" s="253"/>
      <c r="H534" s="253"/>
      <c r="I534" s="253"/>
      <c r="J534" s="253"/>
      <c r="K534" s="253"/>
      <c r="L534" s="253"/>
      <c r="M534" s="253"/>
      <c r="N534" s="253"/>
    </row>
    <row r="535" spans="1:14">
      <c r="A535" s="253"/>
      <c r="B535" s="253"/>
      <c r="C535" s="253"/>
      <c r="D535" s="253"/>
      <c r="E535" s="253"/>
      <c r="F535" s="253"/>
      <c r="G535" s="253"/>
      <c r="H535" s="253"/>
      <c r="I535" s="253"/>
      <c r="J535" s="253"/>
      <c r="K535" s="253"/>
      <c r="L535" s="253"/>
      <c r="M535" s="253"/>
      <c r="N535" s="253"/>
    </row>
    <row r="536" spans="1:14">
      <c r="A536" s="253"/>
      <c r="B536" s="252"/>
      <c r="C536" s="212"/>
      <c r="D536" s="212"/>
      <c r="E536" s="212"/>
      <c r="F536" s="212"/>
      <c r="G536" s="212"/>
      <c r="H536" s="253"/>
      <c r="I536" s="252"/>
      <c r="J536" s="212"/>
      <c r="K536" s="212"/>
      <c r="L536" s="212"/>
      <c r="M536" s="212"/>
      <c r="N536" s="253"/>
    </row>
    <row r="537" spans="1:14">
      <c r="A537" s="253"/>
      <c r="B537" s="252"/>
      <c r="C537" s="212"/>
      <c r="D537" s="212"/>
      <c r="E537" s="212"/>
      <c r="F537" s="212"/>
      <c r="G537" s="212"/>
      <c r="H537" s="253"/>
      <c r="I537" s="252"/>
      <c r="J537" s="212"/>
      <c r="K537" s="212"/>
      <c r="L537" s="212"/>
      <c r="M537" s="212"/>
      <c r="N537" s="253"/>
    </row>
    <row r="538" spans="1:14">
      <c r="A538" s="253"/>
      <c r="B538" s="252"/>
      <c r="C538" s="212"/>
      <c r="D538" s="212"/>
      <c r="E538" s="212"/>
      <c r="F538" s="212"/>
      <c r="G538" s="212"/>
      <c r="H538" s="253"/>
      <c r="I538" s="252"/>
      <c r="J538" s="212"/>
      <c r="K538" s="212"/>
      <c r="L538" s="212"/>
      <c r="M538" s="212"/>
      <c r="N538" s="253"/>
    </row>
    <row r="539" spans="1:14">
      <c r="A539" s="253"/>
      <c r="B539" s="252"/>
      <c r="C539" s="212"/>
      <c r="D539" s="212"/>
      <c r="E539" s="212"/>
      <c r="F539" s="212"/>
      <c r="G539" s="212"/>
      <c r="H539" s="253"/>
      <c r="I539" s="252"/>
      <c r="J539" s="212"/>
      <c r="K539" s="212"/>
      <c r="L539" s="212"/>
      <c r="M539" s="212"/>
      <c r="N539" s="253"/>
    </row>
    <row r="540" spans="1:14">
      <c r="A540" s="253"/>
      <c r="B540" s="252"/>
      <c r="C540" s="212"/>
      <c r="D540" s="212"/>
      <c r="E540" s="212"/>
      <c r="F540" s="212"/>
      <c r="G540" s="212"/>
      <c r="H540" s="253"/>
      <c r="I540" s="252"/>
      <c r="J540" s="212"/>
      <c r="K540" s="212"/>
      <c r="L540" s="212"/>
      <c r="M540" s="212"/>
      <c r="N540" s="253"/>
    </row>
    <row r="541" spans="1:14">
      <c r="A541" s="253"/>
      <c r="B541" s="252"/>
      <c r="C541" s="212"/>
      <c r="D541" s="212"/>
      <c r="E541" s="212"/>
      <c r="F541" s="212"/>
      <c r="G541" s="212"/>
      <c r="H541" s="253"/>
      <c r="I541" s="252"/>
      <c r="J541" s="212"/>
      <c r="K541" s="212"/>
      <c r="L541" s="212"/>
      <c r="M541" s="212"/>
      <c r="N541" s="253"/>
    </row>
    <row r="542" spans="1:14">
      <c r="A542" s="253"/>
      <c r="B542" s="252"/>
      <c r="C542" s="212"/>
      <c r="D542" s="212"/>
      <c r="E542" s="212"/>
      <c r="F542" s="212"/>
      <c r="G542" s="212"/>
      <c r="H542" s="253"/>
      <c r="I542" s="252"/>
      <c r="J542" s="212"/>
      <c r="K542" s="212"/>
      <c r="L542" s="212"/>
      <c r="M542" s="212"/>
      <c r="N542" s="253"/>
    </row>
    <row r="543" spans="1:14">
      <c r="A543" s="253"/>
      <c r="B543" s="252"/>
      <c r="C543" s="212"/>
      <c r="D543" s="212"/>
      <c r="E543" s="212"/>
      <c r="F543" s="212"/>
      <c r="G543" s="212"/>
      <c r="H543" s="253"/>
      <c r="I543" s="252"/>
      <c r="J543" s="212"/>
      <c r="K543" s="212"/>
      <c r="L543" s="212"/>
      <c r="M543" s="212"/>
      <c r="N543" s="253"/>
    </row>
    <row r="544" spans="1:14">
      <c r="A544" s="253"/>
      <c r="B544" s="252"/>
      <c r="C544" s="212"/>
      <c r="D544" s="212"/>
      <c r="E544" s="212"/>
      <c r="F544" s="212"/>
      <c r="G544" s="212"/>
      <c r="H544" s="253"/>
      <c r="I544" s="252"/>
      <c r="J544" s="212"/>
      <c r="K544" s="212"/>
      <c r="L544" s="212"/>
      <c r="M544" s="212"/>
      <c r="N544" s="253"/>
    </row>
    <row r="545" spans="1:14">
      <c r="A545" s="253"/>
      <c r="B545" s="252"/>
      <c r="C545" s="212"/>
      <c r="D545" s="212"/>
      <c r="E545" s="212"/>
      <c r="F545" s="212"/>
      <c r="G545" s="212"/>
      <c r="H545" s="253"/>
      <c r="I545" s="252"/>
      <c r="J545" s="212"/>
      <c r="K545" s="212"/>
      <c r="L545" s="212"/>
      <c r="M545" s="212"/>
      <c r="N545" s="253"/>
    </row>
    <row r="546" spans="1:14">
      <c r="A546" s="253"/>
      <c r="B546" s="252"/>
      <c r="C546" s="212"/>
      <c r="D546" s="212"/>
      <c r="E546" s="212"/>
      <c r="F546" s="212"/>
      <c r="G546" s="212"/>
      <c r="H546" s="253"/>
      <c r="I546" s="252"/>
      <c r="J546" s="212"/>
      <c r="K546" s="212"/>
      <c r="L546" s="212"/>
      <c r="M546" s="212"/>
      <c r="N546" s="253"/>
    </row>
    <row r="547" spans="1:14">
      <c r="A547" s="253"/>
      <c r="B547" s="252"/>
      <c r="C547" s="212"/>
      <c r="D547" s="212"/>
      <c r="E547" s="212"/>
      <c r="F547" s="212"/>
      <c r="G547" s="212"/>
      <c r="H547" s="253"/>
      <c r="I547" s="252"/>
      <c r="J547" s="212"/>
      <c r="K547" s="212"/>
      <c r="L547" s="212"/>
      <c r="M547" s="212"/>
      <c r="N547" s="253"/>
    </row>
    <row r="548" spans="1:14">
      <c r="A548" s="253"/>
      <c r="B548" s="252"/>
      <c r="C548" s="251"/>
      <c r="D548" s="251"/>
      <c r="E548" s="251"/>
      <c r="F548" s="251"/>
      <c r="G548" s="251"/>
      <c r="H548" s="253"/>
      <c r="I548" s="252"/>
      <c r="J548" s="251"/>
      <c r="K548" s="251"/>
      <c r="L548" s="251"/>
      <c r="M548" s="251"/>
      <c r="N548" s="253"/>
    </row>
    <row r="549" spans="1:14">
      <c r="A549" s="253"/>
      <c r="B549" s="253"/>
      <c r="C549" s="251"/>
      <c r="D549" s="253"/>
      <c r="E549" s="253"/>
      <c r="F549" s="253"/>
      <c r="G549" s="253"/>
      <c r="H549" s="253"/>
      <c r="I549" s="253"/>
      <c r="J549" s="251"/>
      <c r="K549" s="253"/>
      <c r="L549" s="253"/>
      <c r="M549" s="253"/>
      <c r="N549" s="253"/>
    </row>
    <row r="550" spans="1:14">
      <c r="A550" s="211"/>
      <c r="B550" s="211"/>
      <c r="C550" s="211"/>
      <c r="D550" s="211"/>
      <c r="E550" s="211"/>
      <c r="F550" s="211"/>
      <c r="G550" s="211"/>
      <c r="H550" s="211"/>
      <c r="I550" s="211"/>
      <c r="J550" s="211"/>
      <c r="K550" s="211"/>
      <c r="L550" s="211"/>
      <c r="M550" s="211"/>
      <c r="N550" s="211"/>
    </row>
    <row r="551" spans="1:14">
      <c r="A551" s="211"/>
      <c r="B551" s="211"/>
      <c r="C551" s="211"/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211"/>
    </row>
    <row r="552" spans="1:14">
      <c r="A552" s="211"/>
      <c r="B552" s="211"/>
      <c r="C552" s="211"/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211"/>
    </row>
    <row r="553" spans="1:14">
      <c r="A553" s="253"/>
      <c r="B553" s="254"/>
      <c r="C553" s="253"/>
      <c r="D553" s="253"/>
      <c r="E553" s="253"/>
      <c r="F553" s="253"/>
      <c r="G553" s="253"/>
      <c r="H553" s="253"/>
      <c r="I553" s="253"/>
      <c r="J553" s="253"/>
      <c r="K553" s="253"/>
      <c r="L553" s="253"/>
      <c r="M553" s="253"/>
      <c r="N553" s="253"/>
    </row>
    <row r="554" spans="1:14">
      <c r="A554" s="253"/>
      <c r="B554" s="253"/>
      <c r="C554" s="253"/>
      <c r="D554" s="253"/>
      <c r="E554" s="253"/>
      <c r="F554" s="253"/>
      <c r="G554" s="253"/>
      <c r="H554" s="253"/>
      <c r="I554" s="253"/>
      <c r="J554" s="253"/>
      <c r="K554" s="253"/>
      <c r="L554" s="253"/>
      <c r="M554" s="253"/>
      <c r="N554" s="253"/>
    </row>
    <row r="555" spans="1:14">
      <c r="A555" s="253"/>
      <c r="B555" s="253"/>
      <c r="C555" s="253"/>
      <c r="D555" s="253"/>
      <c r="E555" s="253"/>
      <c r="F555" s="253"/>
      <c r="G555" s="253"/>
      <c r="H555" s="253"/>
      <c r="I555" s="253"/>
      <c r="J555" s="253"/>
      <c r="K555" s="253"/>
      <c r="L555" s="253"/>
      <c r="M555" s="253"/>
      <c r="N555" s="253"/>
    </row>
    <row r="556" spans="1:14">
      <c r="A556" s="253"/>
      <c r="B556" s="252"/>
      <c r="C556" s="212"/>
      <c r="D556" s="212"/>
      <c r="E556" s="212"/>
      <c r="F556" s="212"/>
      <c r="G556" s="212"/>
      <c r="H556" s="253"/>
      <c r="I556" s="252"/>
      <c r="J556" s="212"/>
      <c r="K556" s="212"/>
      <c r="L556" s="212"/>
      <c r="M556" s="212"/>
      <c r="N556" s="253"/>
    </row>
    <row r="557" spans="1:14">
      <c r="A557" s="253"/>
      <c r="B557" s="252"/>
      <c r="C557" s="212"/>
      <c r="D557" s="212"/>
      <c r="E557" s="212"/>
      <c r="F557" s="212"/>
      <c r="G557" s="212"/>
      <c r="H557" s="253"/>
      <c r="I557" s="252"/>
      <c r="J557" s="212"/>
      <c r="K557" s="212"/>
      <c r="L557" s="212"/>
      <c r="M557" s="212"/>
      <c r="N557" s="253"/>
    </row>
    <row r="558" spans="1:14">
      <c r="A558" s="253"/>
      <c r="B558" s="252"/>
      <c r="C558" s="212"/>
      <c r="D558" s="212"/>
      <c r="E558" s="212"/>
      <c r="F558" s="212"/>
      <c r="G558" s="212"/>
      <c r="H558" s="253"/>
      <c r="I558" s="252"/>
      <c r="J558" s="212"/>
      <c r="K558" s="212"/>
      <c r="L558" s="212"/>
      <c r="M558" s="212"/>
      <c r="N558" s="253"/>
    </row>
    <row r="559" spans="1:14">
      <c r="A559" s="253"/>
      <c r="B559" s="252"/>
      <c r="C559" s="212"/>
      <c r="D559" s="212"/>
      <c r="E559" s="212"/>
      <c r="F559" s="212"/>
      <c r="G559" s="212"/>
      <c r="H559" s="253"/>
      <c r="I559" s="252"/>
      <c r="J559" s="212"/>
      <c r="K559" s="212"/>
      <c r="L559" s="212"/>
      <c r="M559" s="212"/>
      <c r="N559" s="253"/>
    </row>
    <row r="560" spans="1:14">
      <c r="A560" s="253"/>
      <c r="B560" s="252"/>
      <c r="C560" s="212"/>
      <c r="D560" s="212"/>
      <c r="E560" s="212"/>
      <c r="F560" s="212"/>
      <c r="G560" s="212"/>
      <c r="H560" s="253"/>
      <c r="I560" s="252"/>
      <c r="J560" s="212"/>
      <c r="K560" s="212"/>
      <c r="L560" s="212"/>
      <c r="M560" s="212"/>
      <c r="N560" s="253"/>
    </row>
    <row r="561" spans="1:14">
      <c r="A561" s="253"/>
      <c r="B561" s="252"/>
      <c r="C561" s="212"/>
      <c r="D561" s="212"/>
      <c r="E561" s="212"/>
      <c r="F561" s="212"/>
      <c r="G561" s="212"/>
      <c r="H561" s="253"/>
      <c r="I561" s="252"/>
      <c r="J561" s="212"/>
      <c r="K561" s="212"/>
      <c r="L561" s="212"/>
      <c r="M561" s="212"/>
      <c r="N561" s="253"/>
    </row>
    <row r="562" spans="1:14">
      <c r="A562" s="253"/>
      <c r="B562" s="252"/>
      <c r="C562" s="212"/>
      <c r="D562" s="212"/>
      <c r="E562" s="212"/>
      <c r="F562" s="212"/>
      <c r="G562" s="212"/>
      <c r="H562" s="253"/>
      <c r="I562" s="252"/>
      <c r="J562" s="212"/>
      <c r="K562" s="212"/>
      <c r="L562" s="212"/>
      <c r="M562" s="212"/>
      <c r="N562" s="253"/>
    </row>
    <row r="563" spans="1:14">
      <c r="A563" s="253"/>
      <c r="B563" s="252"/>
      <c r="C563" s="212"/>
      <c r="D563" s="212"/>
      <c r="E563" s="212"/>
      <c r="F563" s="212"/>
      <c r="G563" s="212"/>
      <c r="H563" s="253"/>
      <c r="I563" s="252"/>
      <c r="J563" s="212"/>
      <c r="K563" s="212"/>
      <c r="L563" s="212"/>
      <c r="M563" s="212"/>
      <c r="N563" s="253"/>
    </row>
    <row r="564" spans="1:14">
      <c r="A564" s="253"/>
      <c r="B564" s="252"/>
      <c r="C564" s="212"/>
      <c r="D564" s="212"/>
      <c r="E564" s="212"/>
      <c r="F564" s="212"/>
      <c r="G564" s="212"/>
      <c r="H564" s="253"/>
      <c r="I564" s="252"/>
      <c r="J564" s="212"/>
      <c r="K564" s="212"/>
      <c r="L564" s="212"/>
      <c r="M564" s="212"/>
      <c r="N564" s="253"/>
    </row>
    <row r="565" spans="1:14">
      <c r="A565" s="253"/>
      <c r="B565" s="252"/>
      <c r="C565" s="212"/>
      <c r="D565" s="212"/>
      <c r="E565" s="212"/>
      <c r="F565" s="212"/>
      <c r="G565" s="212"/>
      <c r="H565" s="253"/>
      <c r="I565" s="252"/>
      <c r="J565" s="212"/>
      <c r="K565" s="212"/>
      <c r="L565" s="212"/>
      <c r="M565" s="212"/>
      <c r="N565" s="253"/>
    </row>
    <row r="566" spans="1:14">
      <c r="A566" s="253"/>
      <c r="B566" s="252"/>
      <c r="C566" s="212"/>
      <c r="D566" s="212"/>
      <c r="E566" s="212"/>
      <c r="F566" s="212"/>
      <c r="G566" s="212"/>
      <c r="H566" s="253"/>
      <c r="I566" s="252"/>
      <c r="J566" s="212"/>
      <c r="K566" s="212"/>
      <c r="L566" s="212"/>
      <c r="M566" s="212"/>
      <c r="N566" s="253"/>
    </row>
    <row r="567" spans="1:14">
      <c r="A567" s="253"/>
      <c r="B567" s="252"/>
      <c r="C567" s="212"/>
      <c r="D567" s="212"/>
      <c r="E567" s="212"/>
      <c r="F567" s="212"/>
      <c r="G567" s="212"/>
      <c r="H567" s="253"/>
      <c r="I567" s="252"/>
      <c r="J567" s="212"/>
      <c r="K567" s="212"/>
      <c r="L567" s="212"/>
      <c r="M567" s="212"/>
      <c r="N567" s="253"/>
    </row>
    <row r="568" spans="1:14">
      <c r="A568" s="253"/>
      <c r="B568" s="252"/>
      <c r="C568" s="251"/>
      <c r="D568" s="251"/>
      <c r="E568" s="251"/>
      <c r="F568" s="251"/>
      <c r="G568" s="251"/>
      <c r="H568" s="253"/>
      <c r="I568" s="252"/>
      <c r="J568" s="251"/>
      <c r="K568" s="251"/>
      <c r="L568" s="251"/>
      <c r="M568" s="251"/>
      <c r="N568" s="253"/>
    </row>
    <row r="569" spans="1:14">
      <c r="A569" s="253"/>
      <c r="B569" s="253"/>
      <c r="C569" s="251"/>
      <c r="D569" s="253"/>
      <c r="E569" s="253"/>
      <c r="F569" s="253"/>
      <c r="G569" s="253"/>
      <c r="H569" s="253"/>
      <c r="I569" s="253"/>
      <c r="J569" s="251"/>
      <c r="K569" s="253"/>
      <c r="L569" s="253"/>
      <c r="M569" s="253"/>
      <c r="N569" s="253"/>
    </row>
    <row r="570" spans="1:14">
      <c r="A570" s="211"/>
      <c r="B570" s="211"/>
      <c r="C570" s="211"/>
      <c r="D570" s="211"/>
      <c r="E570" s="211"/>
      <c r="F570" s="211"/>
      <c r="G570" s="211"/>
      <c r="H570" s="211"/>
      <c r="I570" s="211"/>
      <c r="J570" s="211"/>
      <c r="K570" s="211"/>
      <c r="L570" s="211"/>
      <c r="M570" s="211"/>
      <c r="N570" s="211"/>
    </row>
    <row r="571" spans="1:14">
      <c r="A571" s="211"/>
      <c r="B571" s="211"/>
      <c r="C571" s="211"/>
      <c r="D571" s="211"/>
      <c r="E571" s="211"/>
      <c r="F571" s="211"/>
      <c r="G571" s="211"/>
      <c r="H571" s="211"/>
      <c r="I571" s="211"/>
      <c r="J571" s="211"/>
      <c r="K571" s="211"/>
      <c r="L571" s="211"/>
      <c r="M571" s="211"/>
      <c r="N571" s="211"/>
    </row>
    <row r="572" spans="1:14">
      <c r="A572" s="211"/>
      <c r="B572" s="211"/>
      <c r="C572" s="211"/>
      <c r="D572" s="211"/>
      <c r="E572" s="211"/>
      <c r="F572" s="211"/>
      <c r="G572" s="211"/>
      <c r="H572" s="211"/>
      <c r="I572" s="211"/>
      <c r="J572" s="211"/>
      <c r="K572" s="211"/>
      <c r="L572" s="211"/>
      <c r="M572" s="211"/>
      <c r="N572" s="211"/>
    </row>
    <row r="573" spans="1:14">
      <c r="A573" s="253"/>
      <c r="B573" s="254"/>
      <c r="C573" s="253"/>
      <c r="D573" s="253"/>
      <c r="E573" s="253"/>
      <c r="F573" s="253"/>
      <c r="G573" s="253"/>
      <c r="H573" s="253"/>
      <c r="I573" s="253"/>
      <c r="J573" s="253"/>
      <c r="K573" s="253"/>
      <c r="L573" s="253"/>
      <c r="M573" s="253"/>
      <c r="N573" s="253"/>
    </row>
    <row r="574" spans="1:14">
      <c r="A574" s="253"/>
      <c r="B574" s="253"/>
      <c r="C574" s="253"/>
      <c r="D574" s="253"/>
      <c r="E574" s="253"/>
      <c r="F574" s="253"/>
      <c r="G574" s="253"/>
      <c r="H574" s="253"/>
      <c r="I574" s="253"/>
      <c r="J574" s="253"/>
      <c r="K574" s="253"/>
      <c r="L574" s="253"/>
      <c r="M574" s="253"/>
      <c r="N574" s="253"/>
    </row>
    <row r="575" spans="1:14">
      <c r="A575" s="253"/>
      <c r="B575" s="253"/>
      <c r="C575" s="253"/>
      <c r="D575" s="253"/>
      <c r="E575" s="253"/>
      <c r="F575" s="253"/>
      <c r="G575" s="253"/>
      <c r="H575" s="253"/>
      <c r="I575" s="253"/>
      <c r="J575" s="253"/>
      <c r="K575" s="253"/>
      <c r="L575" s="253"/>
      <c r="M575" s="253"/>
      <c r="N575" s="253"/>
    </row>
    <row r="576" spans="1:14">
      <c r="A576" s="253"/>
      <c r="B576" s="252"/>
      <c r="C576" s="212"/>
      <c r="D576" s="212"/>
      <c r="E576" s="212"/>
      <c r="F576" s="212"/>
      <c r="G576" s="212"/>
      <c r="H576" s="253"/>
      <c r="I576" s="252"/>
      <c r="J576" s="212"/>
      <c r="K576" s="212"/>
      <c r="L576" s="212"/>
      <c r="M576" s="212"/>
      <c r="N576" s="253"/>
    </row>
    <row r="577" spans="1:14">
      <c r="A577" s="253"/>
      <c r="B577" s="252"/>
      <c r="C577" s="212"/>
      <c r="D577" s="212"/>
      <c r="E577" s="212"/>
      <c r="F577" s="212"/>
      <c r="G577" s="212"/>
      <c r="H577" s="253"/>
      <c r="I577" s="252"/>
      <c r="J577" s="212"/>
      <c r="K577" s="212"/>
      <c r="L577" s="212"/>
      <c r="M577" s="212"/>
      <c r="N577" s="253"/>
    </row>
    <row r="578" spans="1:14">
      <c r="A578" s="253"/>
      <c r="B578" s="252"/>
      <c r="C578" s="212"/>
      <c r="D578" s="212"/>
      <c r="E578" s="212"/>
      <c r="F578" s="212"/>
      <c r="G578" s="212"/>
      <c r="H578" s="253"/>
      <c r="I578" s="252"/>
      <c r="J578" s="212"/>
      <c r="K578" s="212"/>
      <c r="L578" s="212"/>
      <c r="M578" s="212"/>
      <c r="N578" s="253"/>
    </row>
    <row r="579" spans="1:14">
      <c r="A579" s="253"/>
      <c r="B579" s="252"/>
      <c r="C579" s="212"/>
      <c r="D579" s="212"/>
      <c r="E579" s="212"/>
      <c r="F579" s="212"/>
      <c r="G579" s="212"/>
      <c r="H579" s="253"/>
      <c r="I579" s="252"/>
      <c r="J579" s="212"/>
      <c r="K579" s="212"/>
      <c r="L579" s="212"/>
      <c r="M579" s="212"/>
      <c r="N579" s="253"/>
    </row>
    <row r="580" spans="1:14">
      <c r="A580" s="253"/>
      <c r="B580" s="252"/>
      <c r="C580" s="212"/>
      <c r="D580" s="212"/>
      <c r="E580" s="212"/>
      <c r="F580" s="212"/>
      <c r="G580" s="212"/>
      <c r="H580" s="253"/>
      <c r="I580" s="252"/>
      <c r="J580" s="212"/>
      <c r="K580" s="212"/>
      <c r="L580" s="212"/>
      <c r="M580" s="212"/>
      <c r="N580" s="253"/>
    </row>
    <row r="581" spans="1:14">
      <c r="A581" s="253"/>
      <c r="B581" s="252"/>
      <c r="C581" s="212"/>
      <c r="D581" s="212"/>
      <c r="E581" s="212"/>
      <c r="F581" s="212"/>
      <c r="G581" s="212"/>
      <c r="H581" s="253"/>
      <c r="I581" s="252"/>
      <c r="J581" s="212"/>
      <c r="K581" s="212"/>
      <c r="L581" s="212"/>
      <c r="M581" s="212"/>
      <c r="N581" s="253"/>
    </row>
    <row r="582" spans="1:14">
      <c r="A582" s="253"/>
      <c r="B582" s="252"/>
      <c r="C582" s="212"/>
      <c r="D582" s="212"/>
      <c r="E582" s="212"/>
      <c r="F582" s="212"/>
      <c r="G582" s="212"/>
      <c r="H582" s="253"/>
      <c r="I582" s="252"/>
      <c r="J582" s="212"/>
      <c r="K582" s="212"/>
      <c r="L582" s="212"/>
      <c r="M582" s="212"/>
      <c r="N582" s="253"/>
    </row>
    <row r="583" spans="1:14">
      <c r="A583" s="253"/>
      <c r="B583" s="252"/>
      <c r="C583" s="212"/>
      <c r="D583" s="212"/>
      <c r="E583" s="212"/>
      <c r="F583" s="212"/>
      <c r="G583" s="212"/>
      <c r="H583" s="253"/>
      <c r="I583" s="252"/>
      <c r="J583" s="212"/>
      <c r="K583" s="212"/>
      <c r="L583" s="212"/>
      <c r="M583" s="212"/>
      <c r="N583" s="253"/>
    </row>
    <row r="584" spans="1:14">
      <c r="A584" s="253"/>
      <c r="B584" s="252"/>
      <c r="C584" s="212"/>
      <c r="D584" s="212"/>
      <c r="E584" s="212"/>
      <c r="F584" s="212"/>
      <c r="G584" s="212"/>
      <c r="H584" s="253"/>
      <c r="I584" s="252"/>
      <c r="J584" s="212"/>
      <c r="K584" s="212"/>
      <c r="L584" s="212"/>
      <c r="M584" s="212"/>
      <c r="N584" s="253"/>
    </row>
    <row r="585" spans="1:14">
      <c r="A585" s="253"/>
      <c r="B585" s="252"/>
      <c r="C585" s="212"/>
      <c r="D585" s="212"/>
      <c r="E585" s="212"/>
      <c r="F585" s="212"/>
      <c r="G585" s="212"/>
      <c r="H585" s="253"/>
      <c r="I585" s="252"/>
      <c r="J585" s="212"/>
      <c r="K585" s="212"/>
      <c r="L585" s="212"/>
      <c r="M585" s="212"/>
      <c r="N585" s="253"/>
    </row>
    <row r="586" spans="1:14">
      <c r="A586" s="253"/>
      <c r="B586" s="252"/>
      <c r="C586" s="212"/>
      <c r="D586" s="212"/>
      <c r="E586" s="212"/>
      <c r="F586" s="212"/>
      <c r="G586" s="212"/>
      <c r="H586" s="253"/>
      <c r="I586" s="252"/>
      <c r="J586" s="212"/>
      <c r="K586" s="212"/>
      <c r="L586" s="212"/>
      <c r="M586" s="212"/>
      <c r="N586" s="253"/>
    </row>
    <row r="587" spans="1:14">
      <c r="A587" s="253"/>
      <c r="B587" s="252"/>
      <c r="C587" s="212"/>
      <c r="D587" s="212"/>
      <c r="E587" s="212"/>
      <c r="F587" s="212"/>
      <c r="G587" s="212"/>
      <c r="H587" s="253"/>
      <c r="I587" s="252"/>
      <c r="J587" s="212"/>
      <c r="K587" s="212"/>
      <c r="L587" s="212"/>
      <c r="M587" s="212"/>
      <c r="N587" s="253"/>
    </row>
    <row r="588" spans="1:14">
      <c r="A588" s="253"/>
      <c r="B588" s="252"/>
      <c r="C588" s="251"/>
      <c r="D588" s="251"/>
      <c r="E588" s="251"/>
      <c r="F588" s="251"/>
      <c r="G588" s="251"/>
      <c r="H588" s="253"/>
      <c r="I588" s="252"/>
      <c r="J588" s="251"/>
      <c r="K588" s="251"/>
      <c r="L588" s="251"/>
      <c r="M588" s="251"/>
      <c r="N588" s="253"/>
    </row>
    <row r="589" spans="1:14">
      <c r="A589" s="253"/>
      <c r="B589" s="253"/>
      <c r="C589" s="251"/>
      <c r="D589" s="253"/>
      <c r="E589" s="253"/>
      <c r="F589" s="253"/>
      <c r="G589" s="253"/>
      <c r="H589" s="253"/>
      <c r="I589" s="253"/>
      <c r="J589" s="251"/>
      <c r="K589" s="253"/>
      <c r="L589" s="253"/>
      <c r="M589" s="253"/>
      <c r="N589" s="253"/>
    </row>
    <row r="590" spans="1:14">
      <c r="A590" s="211"/>
      <c r="B590" s="211"/>
      <c r="C590" s="211"/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</row>
    <row r="591" spans="1:14">
      <c r="A591" s="211"/>
      <c r="B591" s="211"/>
      <c r="C591" s="211"/>
      <c r="D591" s="211"/>
      <c r="E591" s="211"/>
      <c r="F591" s="211"/>
      <c r="G591" s="211"/>
      <c r="H591" s="211"/>
      <c r="I591" s="211"/>
      <c r="J591" s="211"/>
      <c r="K591" s="211"/>
      <c r="L591" s="211"/>
      <c r="M591" s="211"/>
      <c r="N591" s="211"/>
    </row>
    <row r="592" spans="1:14">
      <c r="A592" s="211"/>
      <c r="B592" s="211"/>
      <c r="C592" s="211"/>
      <c r="D592" s="211"/>
      <c r="E592" s="211"/>
      <c r="F592" s="211"/>
      <c r="G592" s="211"/>
      <c r="H592" s="211"/>
      <c r="I592" s="211"/>
      <c r="J592" s="211"/>
      <c r="K592" s="211"/>
      <c r="L592" s="211"/>
      <c r="M592" s="211"/>
      <c r="N592" s="211"/>
    </row>
    <row r="593" spans="1:14">
      <c r="A593" s="253"/>
      <c r="B593" s="254"/>
      <c r="C593" s="253"/>
      <c r="D593" s="253"/>
      <c r="E593" s="253"/>
      <c r="F593" s="253"/>
      <c r="G593" s="253"/>
      <c r="H593" s="253"/>
      <c r="I593" s="253"/>
      <c r="J593" s="253"/>
      <c r="K593" s="253"/>
      <c r="L593" s="253"/>
      <c r="M593" s="253"/>
      <c r="N593" s="253"/>
    </row>
    <row r="594" spans="1:14">
      <c r="A594" s="253"/>
      <c r="B594" s="253"/>
      <c r="C594" s="253"/>
      <c r="D594" s="253"/>
      <c r="E594" s="253"/>
      <c r="F594" s="253"/>
      <c r="G594" s="253"/>
      <c r="H594" s="253"/>
      <c r="I594" s="253"/>
      <c r="J594" s="253"/>
      <c r="K594" s="253"/>
      <c r="L594" s="253"/>
      <c r="M594" s="253"/>
      <c r="N594" s="253"/>
    </row>
    <row r="595" spans="1:14">
      <c r="A595" s="253"/>
      <c r="B595" s="253"/>
      <c r="C595" s="253"/>
      <c r="D595" s="253"/>
      <c r="E595" s="253"/>
      <c r="F595" s="253"/>
      <c r="G595" s="253"/>
      <c r="H595" s="253"/>
      <c r="I595" s="253"/>
      <c r="J595" s="253"/>
      <c r="K595" s="253"/>
      <c r="L595" s="253"/>
      <c r="M595" s="253"/>
      <c r="N595" s="253"/>
    </row>
    <row r="596" spans="1:14">
      <c r="A596" s="253"/>
      <c r="B596" s="252"/>
      <c r="C596" s="212"/>
      <c r="D596" s="212"/>
      <c r="E596" s="212"/>
      <c r="F596" s="212"/>
      <c r="G596" s="212"/>
      <c r="H596" s="253"/>
      <c r="I596" s="252"/>
      <c r="J596" s="212"/>
      <c r="K596" s="212"/>
      <c r="L596" s="212"/>
      <c r="M596" s="212"/>
      <c r="N596" s="253"/>
    </row>
    <row r="597" spans="1:14">
      <c r="A597" s="253"/>
      <c r="B597" s="252"/>
      <c r="C597" s="212"/>
      <c r="D597" s="212"/>
      <c r="E597" s="212"/>
      <c r="F597" s="212"/>
      <c r="G597" s="212"/>
      <c r="H597" s="253"/>
      <c r="I597" s="252"/>
      <c r="J597" s="212"/>
      <c r="K597" s="212"/>
      <c r="L597" s="212"/>
      <c r="M597" s="212"/>
      <c r="N597" s="253"/>
    </row>
    <row r="598" spans="1:14">
      <c r="A598" s="253"/>
      <c r="B598" s="252"/>
      <c r="C598" s="212"/>
      <c r="D598" s="212"/>
      <c r="E598" s="212"/>
      <c r="F598" s="212"/>
      <c r="G598" s="212"/>
      <c r="H598" s="253"/>
      <c r="I598" s="252"/>
      <c r="J598" s="212"/>
      <c r="K598" s="212"/>
      <c r="L598" s="212"/>
      <c r="M598" s="212"/>
      <c r="N598" s="253"/>
    </row>
    <row r="599" spans="1:14">
      <c r="A599" s="253"/>
      <c r="B599" s="252"/>
      <c r="C599" s="212"/>
      <c r="D599" s="212"/>
      <c r="E599" s="212"/>
      <c r="F599" s="212"/>
      <c r="G599" s="212"/>
      <c r="H599" s="253"/>
      <c r="I599" s="252"/>
      <c r="J599" s="212"/>
      <c r="K599" s="212"/>
      <c r="L599" s="212"/>
      <c r="M599" s="212"/>
      <c r="N599" s="253"/>
    </row>
    <row r="600" spans="1:14">
      <c r="A600" s="253"/>
      <c r="B600" s="252"/>
      <c r="C600" s="212"/>
      <c r="D600" s="212"/>
      <c r="E600" s="212"/>
      <c r="F600" s="212"/>
      <c r="G600" s="212"/>
      <c r="H600" s="253"/>
      <c r="I600" s="252"/>
      <c r="J600" s="212"/>
      <c r="K600" s="212"/>
      <c r="L600" s="212"/>
      <c r="M600" s="212"/>
      <c r="N600" s="253"/>
    </row>
    <row r="601" spans="1:14">
      <c r="A601" s="253"/>
      <c r="B601" s="252"/>
      <c r="C601" s="212"/>
      <c r="D601" s="212"/>
      <c r="E601" s="212"/>
      <c r="F601" s="212"/>
      <c r="G601" s="212"/>
      <c r="H601" s="253"/>
      <c r="I601" s="252"/>
      <c r="J601" s="212"/>
      <c r="K601" s="212"/>
      <c r="L601" s="212"/>
      <c r="M601" s="212"/>
      <c r="N601" s="253"/>
    </row>
    <row r="602" spans="1:14">
      <c r="A602" s="253"/>
      <c r="B602" s="252"/>
      <c r="C602" s="212"/>
      <c r="D602" s="212"/>
      <c r="E602" s="212"/>
      <c r="F602" s="212"/>
      <c r="G602" s="212"/>
      <c r="H602" s="253"/>
      <c r="I602" s="252"/>
      <c r="J602" s="212"/>
      <c r="K602" s="212"/>
      <c r="L602" s="212"/>
      <c r="M602" s="212"/>
      <c r="N602" s="253"/>
    </row>
    <row r="603" spans="1:14">
      <c r="A603" s="253"/>
      <c r="B603" s="252"/>
      <c r="C603" s="212"/>
      <c r="D603" s="212"/>
      <c r="E603" s="212"/>
      <c r="F603" s="212"/>
      <c r="G603" s="212"/>
      <c r="H603" s="253"/>
      <c r="I603" s="252"/>
      <c r="J603" s="212"/>
      <c r="K603" s="212"/>
      <c r="L603" s="212"/>
      <c r="M603" s="212"/>
      <c r="N603" s="253"/>
    </row>
    <row r="604" spans="1:14">
      <c r="A604" s="253"/>
      <c r="B604" s="252"/>
      <c r="C604" s="212"/>
      <c r="D604" s="212"/>
      <c r="E604" s="212"/>
      <c r="F604" s="212"/>
      <c r="G604" s="212"/>
      <c r="H604" s="253"/>
      <c r="I604" s="252"/>
      <c r="J604" s="212"/>
      <c r="K604" s="212"/>
      <c r="L604" s="212"/>
      <c r="M604" s="212"/>
      <c r="N604" s="253"/>
    </row>
    <row r="605" spans="1:14">
      <c r="A605" s="253"/>
      <c r="B605" s="252"/>
      <c r="C605" s="212"/>
      <c r="D605" s="212"/>
      <c r="E605" s="212"/>
      <c r="F605" s="212"/>
      <c r="G605" s="212"/>
      <c r="H605" s="253"/>
      <c r="I605" s="252"/>
      <c r="J605" s="212"/>
      <c r="K605" s="212"/>
      <c r="L605" s="212"/>
      <c r="M605" s="212"/>
      <c r="N605" s="253"/>
    </row>
    <row r="606" spans="1:14">
      <c r="A606" s="253"/>
      <c r="B606" s="252"/>
      <c r="C606" s="212"/>
      <c r="D606" s="212"/>
      <c r="E606" s="212"/>
      <c r="F606" s="212"/>
      <c r="G606" s="212"/>
      <c r="H606" s="253"/>
      <c r="I606" s="252"/>
      <c r="J606" s="212"/>
      <c r="K606" s="212"/>
      <c r="L606" s="212"/>
      <c r="M606" s="212"/>
      <c r="N606" s="253"/>
    </row>
    <row r="607" spans="1:14">
      <c r="A607" s="253"/>
      <c r="B607" s="252"/>
      <c r="C607" s="212"/>
      <c r="D607" s="212"/>
      <c r="E607" s="212"/>
      <c r="F607" s="212"/>
      <c r="G607" s="212"/>
      <c r="H607" s="253"/>
      <c r="I607" s="252"/>
      <c r="J607" s="212"/>
      <c r="K607" s="212"/>
      <c r="L607" s="212"/>
      <c r="M607" s="212"/>
      <c r="N607" s="253"/>
    </row>
    <row r="608" spans="1:14">
      <c r="A608" s="253"/>
      <c r="B608" s="252"/>
      <c r="C608" s="251"/>
      <c r="D608" s="251"/>
      <c r="E608" s="251"/>
      <c r="F608" s="251"/>
      <c r="G608" s="251"/>
      <c r="H608" s="253"/>
      <c r="I608" s="252"/>
      <c r="J608" s="251"/>
      <c r="K608" s="251"/>
      <c r="L608" s="251"/>
      <c r="M608" s="251"/>
      <c r="N608" s="253"/>
    </row>
    <row r="609" spans="1:14">
      <c r="A609" s="253"/>
      <c r="B609" s="253"/>
      <c r="C609" s="251"/>
      <c r="D609" s="253"/>
      <c r="E609" s="253"/>
      <c r="F609" s="253"/>
      <c r="G609" s="253"/>
      <c r="H609" s="253"/>
      <c r="I609" s="253"/>
      <c r="J609" s="251"/>
      <c r="K609" s="253"/>
      <c r="L609" s="253"/>
      <c r="M609" s="253"/>
      <c r="N609" s="253"/>
    </row>
    <row r="610" spans="1:14">
      <c r="A610" s="211"/>
      <c r="B610" s="211"/>
      <c r="C610" s="211"/>
      <c r="D610" s="211"/>
      <c r="E610" s="211"/>
      <c r="F610" s="211"/>
      <c r="G610" s="211"/>
      <c r="H610" s="211"/>
      <c r="I610" s="211"/>
      <c r="J610" s="211"/>
      <c r="K610" s="211"/>
      <c r="L610" s="211"/>
      <c r="M610" s="211"/>
      <c r="N610" s="211"/>
    </row>
    <row r="611" spans="1:14">
      <c r="A611" s="211"/>
      <c r="B611" s="211"/>
      <c r="C611" s="211"/>
      <c r="D611" s="211"/>
      <c r="E611" s="211"/>
      <c r="F611" s="211"/>
      <c r="G611" s="211"/>
      <c r="H611" s="211"/>
      <c r="I611" s="211"/>
      <c r="J611" s="211"/>
      <c r="K611" s="211"/>
      <c r="L611" s="211"/>
      <c r="M611" s="211"/>
      <c r="N611" s="211"/>
    </row>
    <row r="612" spans="1:14">
      <c r="A612" s="211"/>
      <c r="B612" s="211"/>
      <c r="C612" s="211"/>
      <c r="D612" s="211"/>
      <c r="E612" s="211"/>
      <c r="F612" s="211"/>
      <c r="G612" s="211"/>
      <c r="H612" s="211"/>
      <c r="I612" s="211"/>
      <c r="J612" s="211"/>
      <c r="K612" s="211"/>
      <c r="L612" s="211"/>
      <c r="M612" s="211"/>
      <c r="N612" s="211"/>
    </row>
    <row r="613" spans="1:14">
      <c r="A613" s="253"/>
      <c r="B613" s="254"/>
      <c r="C613" s="253"/>
      <c r="D613" s="253"/>
      <c r="E613" s="253"/>
      <c r="F613" s="253"/>
      <c r="G613" s="253"/>
      <c r="H613" s="253"/>
      <c r="I613" s="253"/>
      <c r="J613" s="253"/>
      <c r="K613" s="253"/>
      <c r="L613" s="253"/>
      <c r="M613" s="253"/>
      <c r="N613" s="211"/>
    </row>
    <row r="614" spans="1:14">
      <c r="A614" s="253"/>
      <c r="B614" s="253"/>
      <c r="C614" s="253"/>
      <c r="D614" s="253"/>
      <c r="E614" s="253"/>
      <c r="F614" s="253"/>
      <c r="G614" s="253"/>
      <c r="H614" s="253"/>
      <c r="I614" s="253"/>
      <c r="J614" s="253"/>
      <c r="K614" s="253"/>
      <c r="L614" s="253"/>
      <c r="M614" s="253"/>
      <c r="N614" s="211"/>
    </row>
    <row r="615" spans="1:14">
      <c r="A615" s="253"/>
      <c r="B615" s="253"/>
      <c r="C615" s="253"/>
      <c r="D615" s="253"/>
      <c r="E615" s="253"/>
      <c r="F615" s="253"/>
      <c r="G615" s="253"/>
      <c r="H615" s="253"/>
      <c r="I615" s="253"/>
      <c r="J615" s="253"/>
      <c r="K615" s="253"/>
      <c r="L615" s="253"/>
      <c r="M615" s="253"/>
      <c r="N615" s="211"/>
    </row>
    <row r="616" spans="1:14">
      <c r="A616" s="253"/>
      <c r="B616" s="252"/>
      <c r="C616" s="212"/>
      <c r="D616" s="212"/>
      <c r="E616" s="212"/>
      <c r="F616" s="212"/>
      <c r="G616" s="212"/>
      <c r="H616" s="253"/>
      <c r="I616" s="252"/>
      <c r="J616" s="212"/>
      <c r="K616" s="212"/>
      <c r="L616" s="212"/>
      <c r="M616" s="212"/>
      <c r="N616" s="211"/>
    </row>
    <row r="617" spans="1:14">
      <c r="A617" s="253"/>
      <c r="B617" s="252"/>
      <c r="C617" s="212"/>
      <c r="D617" s="212"/>
      <c r="E617" s="212"/>
      <c r="F617" s="212"/>
      <c r="G617" s="212"/>
      <c r="H617" s="253"/>
      <c r="I617" s="252"/>
      <c r="J617" s="212"/>
      <c r="K617" s="212"/>
      <c r="L617" s="212"/>
      <c r="M617" s="212"/>
      <c r="N617" s="211"/>
    </row>
    <row r="618" spans="1:14">
      <c r="A618" s="253"/>
      <c r="B618" s="252"/>
      <c r="C618" s="212"/>
      <c r="D618" s="212"/>
      <c r="E618" s="212"/>
      <c r="F618" s="212"/>
      <c r="G618" s="212"/>
      <c r="H618" s="253"/>
      <c r="I618" s="252"/>
      <c r="J618" s="212"/>
      <c r="K618" s="212"/>
      <c r="L618" s="212"/>
      <c r="M618" s="212"/>
      <c r="N618" s="211"/>
    </row>
    <row r="619" spans="1:14">
      <c r="A619" s="253"/>
      <c r="B619" s="252"/>
      <c r="C619" s="212"/>
      <c r="D619" s="212"/>
      <c r="E619" s="212"/>
      <c r="F619" s="212"/>
      <c r="G619" s="212"/>
      <c r="H619" s="253"/>
      <c r="I619" s="252"/>
      <c r="J619" s="212"/>
      <c r="K619" s="212"/>
      <c r="L619" s="212"/>
      <c r="M619" s="212"/>
      <c r="N619" s="211"/>
    </row>
    <row r="620" spans="1:14">
      <c r="A620" s="253"/>
      <c r="B620" s="252"/>
      <c r="C620" s="212"/>
      <c r="D620" s="212"/>
      <c r="E620" s="212"/>
      <c r="F620" s="212"/>
      <c r="G620" s="212"/>
      <c r="H620" s="253"/>
      <c r="I620" s="252"/>
      <c r="J620" s="212"/>
      <c r="K620" s="212"/>
      <c r="L620" s="212"/>
      <c r="M620" s="212"/>
      <c r="N620" s="211"/>
    </row>
    <row r="621" spans="1:14">
      <c r="A621" s="253"/>
      <c r="B621" s="252"/>
      <c r="C621" s="212"/>
      <c r="D621" s="212"/>
      <c r="E621" s="212"/>
      <c r="F621" s="212"/>
      <c r="G621" s="212"/>
      <c r="H621" s="253"/>
      <c r="I621" s="252"/>
      <c r="J621" s="212"/>
      <c r="K621" s="212"/>
      <c r="L621" s="212"/>
      <c r="M621" s="212"/>
      <c r="N621" s="211"/>
    </row>
    <row r="622" spans="1:14">
      <c r="A622" s="253"/>
      <c r="B622" s="252"/>
      <c r="C622" s="212"/>
      <c r="D622" s="212"/>
      <c r="E622" s="212"/>
      <c r="F622" s="212"/>
      <c r="G622" s="212"/>
      <c r="H622" s="253"/>
      <c r="I622" s="252"/>
      <c r="J622" s="212"/>
      <c r="K622" s="212"/>
      <c r="L622" s="212"/>
      <c r="M622" s="212"/>
      <c r="N622" s="211"/>
    </row>
    <row r="623" spans="1:14">
      <c r="A623" s="253"/>
      <c r="B623" s="252"/>
      <c r="C623" s="212"/>
      <c r="D623" s="212"/>
      <c r="E623" s="212"/>
      <c r="F623" s="212"/>
      <c r="G623" s="212"/>
      <c r="H623" s="253"/>
      <c r="I623" s="252"/>
      <c r="J623" s="212"/>
      <c r="K623" s="212"/>
      <c r="L623" s="212"/>
      <c r="M623" s="212"/>
      <c r="N623" s="211"/>
    </row>
    <row r="624" spans="1:14">
      <c r="A624" s="253"/>
      <c r="B624" s="252"/>
      <c r="C624" s="212"/>
      <c r="D624" s="212"/>
      <c r="E624" s="212"/>
      <c r="F624" s="212"/>
      <c r="G624" s="212"/>
      <c r="H624" s="253"/>
      <c r="I624" s="252"/>
      <c r="J624" s="212"/>
      <c r="K624" s="212"/>
      <c r="L624" s="212"/>
      <c r="M624" s="212"/>
      <c r="N624" s="211"/>
    </row>
    <row r="625" spans="1:14">
      <c r="A625" s="253"/>
      <c r="B625" s="252"/>
      <c r="C625" s="212"/>
      <c r="D625" s="212"/>
      <c r="E625" s="212"/>
      <c r="F625" s="212"/>
      <c r="G625" s="212"/>
      <c r="H625" s="253"/>
      <c r="I625" s="252"/>
      <c r="J625" s="212"/>
      <c r="K625" s="212"/>
      <c r="L625" s="212"/>
      <c r="M625" s="212"/>
      <c r="N625" s="211"/>
    </row>
    <row r="626" spans="1:14">
      <c r="A626" s="253"/>
      <c r="B626" s="252"/>
      <c r="C626" s="212"/>
      <c r="D626" s="212"/>
      <c r="E626" s="212"/>
      <c r="F626" s="212"/>
      <c r="G626" s="212"/>
      <c r="H626" s="253"/>
      <c r="I626" s="252"/>
      <c r="J626" s="212"/>
      <c r="K626" s="212"/>
      <c r="L626" s="212"/>
      <c r="M626" s="212"/>
      <c r="N626" s="211"/>
    </row>
    <row r="627" spans="1:14">
      <c r="A627" s="253"/>
      <c r="B627" s="252"/>
      <c r="C627" s="212"/>
      <c r="D627" s="212"/>
      <c r="E627" s="212"/>
      <c r="F627" s="212"/>
      <c r="G627" s="212"/>
      <c r="H627" s="253"/>
      <c r="I627" s="252"/>
      <c r="J627" s="212"/>
      <c r="K627" s="212"/>
      <c r="L627" s="212"/>
      <c r="M627" s="212"/>
      <c r="N627" s="211"/>
    </row>
    <row r="628" spans="1:14">
      <c r="A628" s="253"/>
      <c r="B628" s="252"/>
      <c r="C628" s="251"/>
      <c r="D628" s="251"/>
      <c r="E628" s="251"/>
      <c r="F628" s="251"/>
      <c r="G628" s="251"/>
      <c r="H628" s="253"/>
      <c r="I628" s="252"/>
      <c r="J628" s="251"/>
      <c r="K628" s="251"/>
      <c r="L628" s="251"/>
      <c r="M628" s="251"/>
      <c r="N628" s="211"/>
    </row>
    <row r="629" spans="1:14">
      <c r="A629" s="253"/>
      <c r="B629" s="253"/>
      <c r="C629" s="251"/>
      <c r="D629" s="253"/>
      <c r="E629" s="253"/>
      <c r="F629" s="253"/>
      <c r="G629" s="253"/>
      <c r="H629" s="253"/>
      <c r="I629" s="253"/>
      <c r="J629" s="251"/>
      <c r="K629" s="253"/>
      <c r="L629" s="253"/>
      <c r="M629" s="253"/>
      <c r="N629" s="211"/>
    </row>
    <row r="630" spans="1:14">
      <c r="A630" s="211"/>
      <c r="B630" s="211"/>
      <c r="C630" s="211"/>
      <c r="D630" s="211"/>
      <c r="E630" s="211"/>
      <c r="F630" s="211"/>
      <c r="G630" s="211"/>
      <c r="H630" s="211"/>
      <c r="I630" s="211"/>
      <c r="J630" s="211"/>
      <c r="K630" s="211"/>
      <c r="L630" s="211"/>
      <c r="M630" s="211"/>
      <c r="N630" s="211"/>
    </row>
    <row r="631" spans="1:14">
      <c r="A631" s="211"/>
      <c r="B631" s="211"/>
      <c r="C631" s="211"/>
      <c r="D631" s="211"/>
      <c r="E631" s="211"/>
      <c r="F631" s="211"/>
      <c r="G631" s="211"/>
      <c r="H631" s="211"/>
      <c r="I631" s="211"/>
      <c r="J631" s="211"/>
      <c r="K631" s="211"/>
      <c r="L631" s="211"/>
      <c r="M631" s="211"/>
      <c r="N631" s="211"/>
    </row>
    <row r="632" spans="1:14">
      <c r="A632" s="211"/>
      <c r="B632" s="211"/>
      <c r="C632" s="211"/>
      <c r="D632" s="211"/>
      <c r="E632" s="211"/>
      <c r="F632" s="211"/>
      <c r="G632" s="211"/>
      <c r="H632" s="211"/>
      <c r="I632" s="211"/>
      <c r="J632" s="211"/>
      <c r="K632" s="211"/>
      <c r="L632" s="211"/>
      <c r="M632" s="211"/>
      <c r="N632" s="211"/>
    </row>
    <row r="633" spans="1:14">
      <c r="A633" s="211"/>
      <c r="B633" s="211"/>
      <c r="C633" s="211"/>
      <c r="D633" s="211"/>
      <c r="E633" s="211"/>
      <c r="F633" s="211"/>
      <c r="G633" s="211"/>
      <c r="H633" s="211"/>
      <c r="I633" s="211"/>
      <c r="J633" s="211"/>
      <c r="K633" s="211"/>
      <c r="L633" s="211"/>
      <c r="M633" s="211"/>
      <c r="N633" s="211"/>
    </row>
    <row r="634" spans="1:14">
      <c r="A634" s="211"/>
      <c r="B634" s="211"/>
      <c r="C634" s="211"/>
      <c r="D634" s="211"/>
      <c r="E634" s="211"/>
      <c r="F634" s="211"/>
      <c r="G634" s="211"/>
      <c r="H634" s="211"/>
      <c r="I634" s="211"/>
      <c r="J634" s="211"/>
      <c r="K634" s="211"/>
      <c r="L634" s="211"/>
      <c r="M634" s="211"/>
      <c r="N634" s="211"/>
    </row>
    <row r="635" spans="1:14">
      <c r="A635" s="211"/>
      <c r="B635" s="211"/>
      <c r="C635" s="211"/>
      <c r="D635" s="211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</row>
    <row r="636" spans="1:14">
      <c r="A636" s="211"/>
      <c r="B636" s="211"/>
      <c r="C636" s="211"/>
      <c r="D636" s="211"/>
      <c r="E636" s="211"/>
      <c r="F636" s="211"/>
      <c r="G636" s="211"/>
      <c r="H636" s="211"/>
      <c r="I636" s="211"/>
      <c r="J636" s="211"/>
      <c r="K636" s="211"/>
      <c r="L636" s="211"/>
      <c r="M636" s="211"/>
      <c r="N636" s="211"/>
    </row>
    <row r="637" spans="1:14">
      <c r="A637" s="211"/>
      <c r="B637" s="211"/>
      <c r="C637" s="211"/>
      <c r="D637" s="211"/>
      <c r="E637" s="211"/>
      <c r="F637" s="211"/>
      <c r="G637" s="211"/>
      <c r="H637" s="211"/>
      <c r="I637" s="211"/>
      <c r="J637" s="211"/>
      <c r="K637" s="211"/>
      <c r="L637" s="211"/>
      <c r="M637" s="211"/>
      <c r="N637" s="211"/>
    </row>
    <row r="638" spans="1:14">
      <c r="A638" s="211"/>
      <c r="B638" s="211"/>
      <c r="C638" s="211"/>
      <c r="D638" s="211"/>
      <c r="E638" s="211"/>
      <c r="F638" s="211"/>
      <c r="G638" s="211"/>
      <c r="H638" s="211"/>
      <c r="I638" s="211"/>
      <c r="J638" s="211"/>
      <c r="K638" s="211"/>
      <c r="L638" s="211"/>
      <c r="M638" s="211"/>
      <c r="N638" s="211"/>
    </row>
    <row r="639" spans="1:14">
      <c r="A639" s="211"/>
      <c r="B639" s="211"/>
      <c r="C639" s="211"/>
      <c r="D639" s="211"/>
      <c r="E639" s="211"/>
      <c r="F639" s="211"/>
      <c r="G639" s="211"/>
      <c r="H639" s="211"/>
      <c r="I639" s="211"/>
      <c r="J639" s="211"/>
      <c r="K639" s="211"/>
      <c r="L639" s="211"/>
      <c r="M639" s="211"/>
      <c r="N639" s="211"/>
    </row>
    <row r="640" spans="1:14">
      <c r="A640" s="211"/>
      <c r="B640" s="211"/>
      <c r="C640" s="211"/>
      <c r="D640" s="211"/>
      <c r="E640" s="211"/>
      <c r="F640" s="211"/>
      <c r="G640" s="211"/>
      <c r="H640" s="211"/>
      <c r="I640" s="211"/>
      <c r="J640" s="211"/>
      <c r="K640" s="211"/>
      <c r="L640" s="211"/>
      <c r="M640" s="211"/>
      <c r="N640" s="211"/>
    </row>
    <row r="641" spans="1:14">
      <c r="A641" s="211"/>
      <c r="B641" s="211"/>
      <c r="C641" s="211"/>
      <c r="D641" s="211"/>
      <c r="E641" s="211"/>
      <c r="F641" s="211"/>
      <c r="G641" s="211"/>
      <c r="H641" s="211"/>
      <c r="I641" s="211"/>
      <c r="J641" s="211"/>
      <c r="K641" s="211"/>
      <c r="L641" s="211"/>
      <c r="M641" s="211"/>
      <c r="N641" s="211"/>
    </row>
    <row r="642" spans="1:14">
      <c r="A642" s="211"/>
      <c r="B642" s="211"/>
      <c r="C642" s="211"/>
      <c r="D642" s="211"/>
      <c r="E642" s="211"/>
      <c r="F642" s="211"/>
      <c r="G642" s="211"/>
      <c r="H642" s="211"/>
      <c r="I642" s="211"/>
      <c r="J642" s="211"/>
      <c r="K642" s="211"/>
      <c r="L642" s="211"/>
      <c r="M642" s="211"/>
      <c r="N642" s="211"/>
    </row>
    <row r="643" spans="1:14">
      <c r="A643" s="211"/>
      <c r="B643" s="211"/>
      <c r="C643" s="211"/>
      <c r="D643" s="211"/>
      <c r="E643" s="211"/>
      <c r="F643" s="211"/>
      <c r="G643" s="211"/>
      <c r="H643" s="211"/>
      <c r="I643" s="211"/>
      <c r="J643" s="211"/>
      <c r="K643" s="211"/>
      <c r="L643" s="211"/>
      <c r="M643" s="211"/>
      <c r="N643" s="211"/>
    </row>
    <row r="644" spans="1:14">
      <c r="A644" s="211"/>
      <c r="B644" s="211"/>
      <c r="C644" s="211"/>
      <c r="D644" s="211"/>
      <c r="E644" s="211"/>
      <c r="F644" s="211"/>
      <c r="G644" s="211"/>
      <c r="H644" s="211"/>
      <c r="I644" s="211"/>
      <c r="J644" s="211"/>
      <c r="K644" s="211"/>
      <c r="L644" s="211"/>
      <c r="M644" s="211"/>
      <c r="N644" s="211"/>
    </row>
    <row r="645" spans="1:14">
      <c r="A645" s="211"/>
      <c r="B645" s="211"/>
      <c r="C645" s="211"/>
      <c r="D645" s="211"/>
      <c r="E645" s="211"/>
      <c r="F645" s="211"/>
      <c r="G645" s="211"/>
      <c r="H645" s="211"/>
      <c r="I645" s="211"/>
      <c r="J645" s="211"/>
      <c r="K645" s="211"/>
      <c r="L645" s="211"/>
      <c r="M645" s="211"/>
      <c r="N645" s="211"/>
    </row>
    <row r="646" spans="1:14">
      <c r="A646" s="211"/>
      <c r="B646" s="211"/>
      <c r="C646" s="211"/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</row>
    <row r="647" spans="1:14">
      <c r="A647" s="211"/>
      <c r="B647" s="211"/>
      <c r="C647" s="211"/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</row>
    <row r="648" spans="1:14">
      <c r="A648" s="211"/>
      <c r="B648" s="211"/>
      <c r="C648" s="211"/>
      <c r="D648" s="211"/>
      <c r="E648" s="211"/>
      <c r="F648" s="211"/>
      <c r="G648" s="211"/>
      <c r="H648" s="211"/>
      <c r="I648" s="211"/>
      <c r="J648" s="211"/>
      <c r="K648" s="211"/>
      <c r="L648" s="211"/>
      <c r="M648" s="211"/>
      <c r="N648" s="211"/>
    </row>
    <row r="649" spans="1:14">
      <c r="A649" s="211"/>
      <c r="B649" s="211"/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</row>
    <row r="650" spans="1:14">
      <c r="A650" s="211"/>
      <c r="B650" s="211"/>
      <c r="C650" s="211"/>
      <c r="D650" s="211"/>
      <c r="E650" s="211"/>
      <c r="F650" s="211"/>
      <c r="G650" s="211"/>
      <c r="H650" s="211"/>
      <c r="I650" s="211"/>
      <c r="J650" s="211"/>
      <c r="K650" s="211"/>
      <c r="L650" s="211"/>
      <c r="M650" s="211"/>
      <c r="N650" s="211"/>
    </row>
    <row r="651" spans="1:14">
      <c r="A651" s="211"/>
      <c r="B651" s="211"/>
      <c r="C651" s="211"/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</row>
    <row r="652" spans="1:14">
      <c r="A652" s="211"/>
      <c r="B652" s="211"/>
      <c r="C652" s="211"/>
      <c r="D652" s="211"/>
      <c r="E652" s="211"/>
      <c r="F652" s="211"/>
      <c r="G652" s="211"/>
      <c r="H652" s="211"/>
      <c r="I652" s="211"/>
      <c r="J652" s="211"/>
      <c r="K652" s="211"/>
      <c r="L652" s="211"/>
      <c r="M652" s="211"/>
      <c r="N652" s="211"/>
    </row>
    <row r="653" spans="1:14">
      <c r="A653" s="211"/>
      <c r="B653" s="211"/>
      <c r="C653" s="211"/>
      <c r="D653" s="211"/>
      <c r="E653" s="211"/>
      <c r="F653" s="211"/>
      <c r="G653" s="211"/>
      <c r="H653" s="211"/>
      <c r="I653" s="211"/>
      <c r="J653" s="211"/>
      <c r="K653" s="211"/>
      <c r="L653" s="211"/>
      <c r="M653" s="211"/>
      <c r="N653" s="211"/>
    </row>
    <row r="654" spans="1:14">
      <c r="A654" s="211"/>
      <c r="B654" s="211"/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</row>
    <row r="655" spans="1:14">
      <c r="A655" s="211"/>
      <c r="B655" s="211"/>
      <c r="C655" s="211"/>
      <c r="D655" s="211"/>
      <c r="E655" s="211"/>
      <c r="F655" s="211"/>
      <c r="G655" s="211"/>
      <c r="H655" s="211"/>
      <c r="I655" s="211"/>
      <c r="J655" s="211"/>
      <c r="K655" s="211"/>
      <c r="L655" s="211"/>
      <c r="M655" s="211"/>
      <c r="N655" s="211"/>
    </row>
    <row r="656" spans="1:14">
      <c r="A656" s="211"/>
      <c r="B656" s="211"/>
      <c r="C656" s="211"/>
      <c r="D656" s="211"/>
      <c r="E656" s="211"/>
      <c r="F656" s="211"/>
      <c r="G656" s="211"/>
      <c r="H656" s="211"/>
      <c r="I656" s="211"/>
      <c r="J656" s="211"/>
      <c r="K656" s="211"/>
      <c r="L656" s="211"/>
      <c r="M656" s="211"/>
      <c r="N656" s="211"/>
    </row>
    <row r="657" spans="1:14">
      <c r="A657" s="211"/>
      <c r="B657" s="211"/>
      <c r="C657" s="211"/>
      <c r="D657" s="211"/>
      <c r="E657" s="211"/>
      <c r="F657" s="211"/>
      <c r="G657" s="211"/>
      <c r="H657" s="211"/>
      <c r="I657" s="211"/>
      <c r="J657" s="211"/>
      <c r="K657" s="211"/>
      <c r="L657" s="211"/>
      <c r="M657" s="211"/>
      <c r="N657" s="211"/>
    </row>
    <row r="658" spans="1:14">
      <c r="A658" s="211"/>
      <c r="B658" s="211"/>
      <c r="C658" s="211"/>
      <c r="D658" s="211"/>
      <c r="E658" s="211"/>
      <c r="F658" s="211"/>
      <c r="G658" s="211"/>
      <c r="H658" s="211"/>
      <c r="I658" s="211"/>
      <c r="J658" s="211"/>
      <c r="K658" s="211"/>
      <c r="L658" s="211"/>
      <c r="M658" s="211"/>
      <c r="N658" s="211"/>
    </row>
    <row r="659" spans="1:14">
      <c r="A659" s="211"/>
      <c r="B659" s="211"/>
      <c r="C659" s="211"/>
      <c r="D659" s="211"/>
      <c r="E659" s="211"/>
      <c r="F659" s="211"/>
      <c r="G659" s="211"/>
      <c r="H659" s="211"/>
      <c r="I659" s="211"/>
      <c r="J659" s="211"/>
      <c r="K659" s="211"/>
      <c r="L659" s="211"/>
      <c r="M659" s="211"/>
      <c r="N659" s="211"/>
    </row>
    <row r="660" spans="1:14">
      <c r="A660" s="211"/>
      <c r="B660" s="211"/>
      <c r="C660" s="211"/>
      <c r="D660" s="211"/>
      <c r="E660" s="211"/>
      <c r="F660" s="211"/>
      <c r="G660" s="211"/>
      <c r="H660" s="211"/>
      <c r="I660" s="211"/>
      <c r="J660" s="211"/>
      <c r="K660" s="211"/>
      <c r="L660" s="211"/>
      <c r="M660" s="211"/>
      <c r="N660" s="211"/>
    </row>
    <row r="661" spans="1:14">
      <c r="A661" s="211"/>
      <c r="B661" s="211"/>
      <c r="C661" s="211"/>
      <c r="D661" s="211"/>
      <c r="E661" s="211"/>
      <c r="F661" s="211"/>
      <c r="G661" s="211"/>
      <c r="H661" s="211"/>
      <c r="I661" s="211"/>
      <c r="J661" s="211"/>
      <c r="K661" s="211"/>
      <c r="L661" s="211"/>
      <c r="M661" s="211"/>
      <c r="N661" s="211"/>
    </row>
    <row r="662" spans="1:14">
      <c r="A662" s="211"/>
      <c r="B662" s="211"/>
      <c r="C662" s="211"/>
      <c r="D662" s="211"/>
      <c r="E662" s="211"/>
      <c r="F662" s="211"/>
      <c r="G662" s="211"/>
      <c r="H662" s="211"/>
      <c r="I662" s="211"/>
      <c r="J662" s="211"/>
      <c r="K662" s="211"/>
      <c r="L662" s="211"/>
      <c r="M662" s="211"/>
      <c r="N662" s="211"/>
    </row>
    <row r="663" spans="1:14">
      <c r="A663" s="211"/>
      <c r="B663" s="211"/>
      <c r="C663" s="211"/>
      <c r="D663" s="211"/>
      <c r="E663" s="211"/>
      <c r="F663" s="211"/>
      <c r="G663" s="211"/>
      <c r="H663" s="211"/>
      <c r="I663" s="211"/>
      <c r="J663" s="211"/>
      <c r="K663" s="211"/>
      <c r="L663" s="211"/>
      <c r="M663" s="211"/>
      <c r="N663" s="211"/>
    </row>
    <row r="664" spans="1:14">
      <c r="A664" s="211"/>
      <c r="B664" s="211"/>
      <c r="C664" s="211"/>
      <c r="D664" s="211"/>
      <c r="E664" s="211"/>
      <c r="F664" s="211"/>
      <c r="G664" s="211"/>
      <c r="H664" s="211"/>
      <c r="I664" s="211"/>
      <c r="J664" s="211"/>
      <c r="K664" s="211"/>
      <c r="L664" s="211"/>
      <c r="M664" s="211"/>
      <c r="N664" s="211"/>
    </row>
    <row r="665" spans="1:14">
      <c r="A665" s="211"/>
      <c r="B665" s="211"/>
      <c r="C665" s="211"/>
      <c r="D665" s="211"/>
      <c r="E665" s="211"/>
      <c r="F665" s="211"/>
      <c r="G665" s="211"/>
      <c r="H665" s="211"/>
      <c r="I665" s="211"/>
      <c r="J665" s="211"/>
      <c r="K665" s="211"/>
      <c r="L665" s="211"/>
      <c r="M665" s="211"/>
      <c r="N665" s="211"/>
    </row>
    <row r="666" spans="1:14">
      <c r="A666" s="211"/>
      <c r="B666" s="211"/>
      <c r="C666" s="211"/>
      <c r="D666" s="211"/>
      <c r="E666" s="211"/>
      <c r="F666" s="211"/>
      <c r="G666" s="211"/>
      <c r="H666" s="211"/>
      <c r="I666" s="211"/>
      <c r="J666" s="211"/>
      <c r="K666" s="211"/>
      <c r="L666" s="211"/>
      <c r="M666" s="211"/>
      <c r="N666" s="211"/>
    </row>
    <row r="667" spans="1:14">
      <c r="A667" s="211"/>
      <c r="B667" s="211"/>
      <c r="C667" s="211"/>
      <c r="D667" s="211"/>
      <c r="E667" s="211"/>
      <c r="F667" s="211"/>
      <c r="G667" s="211"/>
      <c r="H667" s="211"/>
      <c r="I667" s="211"/>
      <c r="J667" s="211"/>
      <c r="K667" s="211"/>
      <c r="L667" s="211"/>
      <c r="M667" s="211"/>
      <c r="N667" s="211"/>
    </row>
    <row r="668" spans="1:14">
      <c r="A668" s="211"/>
      <c r="B668" s="211"/>
      <c r="C668" s="211"/>
      <c r="D668" s="211"/>
      <c r="E668" s="211"/>
      <c r="F668" s="211"/>
      <c r="G668" s="211"/>
      <c r="H668" s="211"/>
      <c r="I668" s="211"/>
      <c r="J668" s="211"/>
      <c r="K668" s="211"/>
      <c r="L668" s="211"/>
      <c r="M668" s="211"/>
      <c r="N668" s="211"/>
    </row>
    <row r="669" spans="1:14">
      <c r="A669" s="211"/>
      <c r="B669" s="211"/>
      <c r="C669" s="211"/>
      <c r="D669" s="211"/>
      <c r="E669" s="211"/>
      <c r="F669" s="211"/>
      <c r="G669" s="211"/>
      <c r="H669" s="211"/>
      <c r="I669" s="211"/>
      <c r="J669" s="211"/>
      <c r="K669" s="211"/>
      <c r="L669" s="211"/>
      <c r="M669" s="211"/>
      <c r="N669" s="211"/>
    </row>
    <row r="670" spans="1:14">
      <c r="A670" s="211"/>
      <c r="B670" s="211"/>
      <c r="C670" s="211"/>
      <c r="D670" s="211"/>
      <c r="E670" s="211"/>
      <c r="F670" s="211"/>
      <c r="G670" s="211"/>
      <c r="H670" s="211"/>
      <c r="I670" s="211"/>
      <c r="J670" s="211"/>
      <c r="K670" s="211"/>
      <c r="L670" s="211"/>
      <c r="M670" s="211"/>
      <c r="N670" s="211"/>
    </row>
    <row r="671" spans="1:14">
      <c r="A671" s="211"/>
      <c r="B671" s="211"/>
      <c r="C671" s="211"/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</row>
    <row r="672" spans="1:14">
      <c r="A672" s="211"/>
      <c r="B672" s="211"/>
      <c r="C672" s="211"/>
      <c r="D672" s="211"/>
      <c r="E672" s="211"/>
      <c r="F672" s="211"/>
      <c r="G672" s="211"/>
      <c r="H672" s="211"/>
      <c r="I672" s="211"/>
      <c r="J672" s="211"/>
      <c r="K672" s="211"/>
      <c r="L672" s="211"/>
      <c r="M672" s="211"/>
      <c r="N672" s="211"/>
    </row>
    <row r="673" spans="1:14">
      <c r="A673" s="211"/>
      <c r="B673" s="211"/>
      <c r="C673" s="211"/>
      <c r="D673" s="211"/>
      <c r="E673" s="211"/>
      <c r="F673" s="211"/>
      <c r="G673" s="211"/>
      <c r="H673" s="211"/>
      <c r="I673" s="211"/>
      <c r="J673" s="211"/>
      <c r="K673" s="211"/>
      <c r="L673" s="211"/>
      <c r="M673" s="211"/>
      <c r="N673" s="211"/>
    </row>
    <row r="674" spans="1:14">
      <c r="A674" s="211"/>
      <c r="B674" s="211"/>
      <c r="C674" s="211"/>
      <c r="D674" s="211"/>
      <c r="E674" s="211"/>
      <c r="F674" s="211"/>
      <c r="G674" s="211"/>
      <c r="H674" s="211"/>
      <c r="I674" s="211"/>
      <c r="J674" s="211"/>
      <c r="K674" s="211"/>
      <c r="L674" s="211"/>
      <c r="M674" s="211"/>
      <c r="N674" s="211"/>
    </row>
    <row r="675" spans="1:14">
      <c r="A675" s="211"/>
      <c r="B675" s="211"/>
      <c r="C675" s="211"/>
      <c r="D675" s="211"/>
      <c r="E675" s="211"/>
      <c r="F675" s="211"/>
      <c r="G675" s="211"/>
      <c r="H675" s="211"/>
      <c r="I675" s="211"/>
      <c r="J675" s="211"/>
      <c r="K675" s="211"/>
      <c r="L675" s="211"/>
      <c r="M675" s="211"/>
      <c r="N675" s="211"/>
    </row>
    <row r="676" spans="1:14">
      <c r="A676" s="211"/>
      <c r="B676" s="211"/>
      <c r="C676" s="211"/>
      <c r="D676" s="211"/>
      <c r="E676" s="211"/>
      <c r="F676" s="211"/>
      <c r="G676" s="211"/>
      <c r="H676" s="211"/>
      <c r="I676" s="211"/>
      <c r="J676" s="211"/>
      <c r="K676" s="211"/>
      <c r="L676" s="211"/>
      <c r="M676" s="211"/>
      <c r="N676" s="211"/>
    </row>
    <row r="677" spans="1:14">
      <c r="A677" s="211"/>
      <c r="B677" s="211"/>
      <c r="C677" s="211"/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</row>
    <row r="678" spans="1:14">
      <c r="A678" s="211"/>
      <c r="B678" s="211"/>
      <c r="C678" s="211"/>
      <c r="D678" s="211"/>
      <c r="E678" s="211"/>
      <c r="F678" s="211"/>
      <c r="G678" s="211"/>
      <c r="H678" s="211"/>
      <c r="I678" s="211"/>
      <c r="J678" s="211"/>
      <c r="K678" s="211"/>
      <c r="L678" s="211"/>
      <c r="M678" s="211"/>
      <c r="N678" s="211"/>
    </row>
    <row r="679" spans="1:14">
      <c r="A679" s="211"/>
      <c r="B679" s="211"/>
      <c r="C679" s="211"/>
      <c r="D679" s="211"/>
      <c r="E679" s="211"/>
      <c r="F679" s="211"/>
      <c r="G679" s="211"/>
      <c r="H679" s="211"/>
      <c r="I679" s="211"/>
      <c r="J679" s="211"/>
      <c r="K679" s="211"/>
      <c r="L679" s="211"/>
      <c r="M679" s="211"/>
      <c r="N679" s="211"/>
    </row>
    <row r="680" spans="1:14">
      <c r="A680" s="211"/>
      <c r="B680" s="211"/>
      <c r="C680" s="211"/>
      <c r="D680" s="211"/>
      <c r="E680" s="211"/>
      <c r="F680" s="211"/>
      <c r="G680" s="211"/>
      <c r="H680" s="211"/>
      <c r="I680" s="211"/>
      <c r="J680" s="211"/>
      <c r="K680" s="211"/>
      <c r="L680" s="211"/>
      <c r="M680" s="211"/>
      <c r="N680" s="211"/>
    </row>
    <row r="681" spans="1:14">
      <c r="A681" s="211"/>
      <c r="B681" s="211"/>
      <c r="C681" s="211"/>
      <c r="D681" s="211"/>
      <c r="E681" s="211"/>
      <c r="F681" s="211"/>
      <c r="G681" s="211"/>
      <c r="H681" s="211"/>
      <c r="I681" s="211"/>
      <c r="J681" s="211"/>
      <c r="K681" s="211"/>
      <c r="L681" s="211"/>
      <c r="M681" s="211"/>
      <c r="N681" s="211"/>
    </row>
    <row r="682" spans="1:14">
      <c r="A682" s="211"/>
      <c r="B682" s="211"/>
      <c r="C682" s="211"/>
      <c r="D682" s="211"/>
      <c r="E682" s="211"/>
      <c r="F682" s="211"/>
      <c r="G682" s="211"/>
      <c r="H682" s="211"/>
      <c r="I682" s="211"/>
      <c r="J682" s="211"/>
      <c r="K682" s="211"/>
      <c r="L682" s="211"/>
      <c r="M682" s="211"/>
      <c r="N682" s="211"/>
    </row>
    <row r="683" spans="1:14">
      <c r="A683" s="211"/>
      <c r="B683" s="211"/>
      <c r="C683" s="211"/>
      <c r="D683" s="211"/>
      <c r="E683" s="211"/>
      <c r="F683" s="211"/>
      <c r="G683" s="211"/>
      <c r="H683" s="211"/>
      <c r="I683" s="211"/>
      <c r="J683" s="211"/>
      <c r="K683" s="211"/>
      <c r="L683" s="211"/>
      <c r="M683" s="211"/>
      <c r="N683" s="211"/>
    </row>
    <row r="684" spans="1:14">
      <c r="A684" s="211"/>
      <c r="B684" s="211"/>
      <c r="C684" s="211"/>
      <c r="D684" s="211"/>
      <c r="E684" s="211"/>
      <c r="F684" s="211"/>
      <c r="G684" s="211"/>
      <c r="H684" s="211"/>
      <c r="I684" s="211"/>
      <c r="J684" s="211"/>
      <c r="K684" s="211"/>
      <c r="L684" s="211"/>
      <c r="M684" s="211"/>
      <c r="N684" s="211"/>
    </row>
    <row r="685" spans="1:14">
      <c r="A685" s="211"/>
      <c r="B685" s="211"/>
      <c r="C685" s="211"/>
      <c r="D685" s="211"/>
      <c r="E685" s="211"/>
      <c r="F685" s="211"/>
      <c r="G685" s="211"/>
      <c r="H685" s="211"/>
      <c r="I685" s="211"/>
      <c r="J685" s="211"/>
      <c r="K685" s="211"/>
      <c r="L685" s="211"/>
      <c r="M685" s="211"/>
      <c r="N685" s="211"/>
    </row>
    <row r="686" spans="1:14">
      <c r="A686" s="211"/>
      <c r="B686" s="211"/>
      <c r="C686" s="211"/>
      <c r="D686" s="211"/>
      <c r="E686" s="211"/>
      <c r="F686" s="211"/>
      <c r="G686" s="211"/>
      <c r="H686" s="211"/>
      <c r="I686" s="211"/>
      <c r="J686" s="211"/>
      <c r="K686" s="211"/>
      <c r="L686" s="211"/>
      <c r="M686" s="211"/>
      <c r="N686" s="211"/>
    </row>
    <row r="687" spans="1:14">
      <c r="A687" s="211"/>
      <c r="B687" s="211"/>
      <c r="C687" s="211"/>
      <c r="D687" s="211"/>
      <c r="E687" s="211"/>
      <c r="F687" s="211"/>
      <c r="G687" s="211"/>
      <c r="H687" s="211"/>
      <c r="I687" s="211"/>
      <c r="J687" s="211"/>
      <c r="K687" s="211"/>
      <c r="L687" s="211"/>
      <c r="M687" s="211"/>
      <c r="N687" s="211"/>
    </row>
    <row r="688" spans="1:14">
      <c r="A688" s="211"/>
      <c r="B688" s="211"/>
      <c r="C688" s="211"/>
      <c r="D688" s="211"/>
      <c r="E688" s="211"/>
      <c r="F688" s="211"/>
      <c r="G688" s="211"/>
      <c r="H688" s="211"/>
      <c r="I688" s="211"/>
      <c r="J688" s="211"/>
      <c r="K688" s="211"/>
      <c r="L688" s="211"/>
      <c r="M688" s="211"/>
      <c r="N688" s="211"/>
    </row>
    <row r="689" spans="1:14">
      <c r="A689" s="211"/>
      <c r="B689" s="211"/>
      <c r="C689" s="211"/>
      <c r="D689" s="211"/>
      <c r="E689" s="211"/>
      <c r="F689" s="211"/>
      <c r="G689" s="211"/>
      <c r="H689" s="211"/>
      <c r="I689" s="211"/>
      <c r="J689" s="211"/>
      <c r="K689" s="211"/>
      <c r="L689" s="211"/>
      <c r="M689" s="211"/>
      <c r="N689" s="211"/>
    </row>
    <row r="690" spans="1:14">
      <c r="A690" s="211"/>
      <c r="B690" s="211"/>
      <c r="C690" s="211"/>
      <c r="D690" s="211"/>
      <c r="E690" s="211"/>
      <c r="F690" s="211"/>
      <c r="G690" s="211"/>
      <c r="H690" s="211"/>
      <c r="I690" s="211"/>
      <c r="J690" s="211"/>
      <c r="K690" s="211"/>
      <c r="L690" s="211"/>
      <c r="M690" s="211"/>
      <c r="N690" s="211"/>
    </row>
    <row r="691" spans="1:14">
      <c r="A691" s="211"/>
      <c r="B691" s="211"/>
      <c r="C691" s="211"/>
      <c r="D691" s="211"/>
      <c r="E691" s="211"/>
      <c r="F691" s="211"/>
      <c r="G691" s="211"/>
      <c r="H691" s="211"/>
      <c r="I691" s="211"/>
      <c r="J691" s="211"/>
      <c r="K691" s="211"/>
      <c r="L691" s="211"/>
      <c r="M691" s="211"/>
      <c r="N691" s="211"/>
    </row>
    <row r="692" spans="1:14">
      <c r="A692" s="211"/>
      <c r="B692" s="211"/>
      <c r="C692" s="211"/>
      <c r="D692" s="211"/>
      <c r="E692" s="211"/>
      <c r="F692" s="211"/>
      <c r="G692" s="211"/>
      <c r="H692" s="211"/>
      <c r="I692" s="211"/>
      <c r="J692" s="211"/>
      <c r="K692" s="211"/>
      <c r="L692" s="211"/>
      <c r="M692" s="211"/>
      <c r="N692" s="211"/>
    </row>
    <row r="693" spans="1:14">
      <c r="A693" s="211"/>
      <c r="B693" s="211"/>
      <c r="C693" s="211"/>
      <c r="D693" s="211"/>
      <c r="E693" s="211"/>
      <c r="F693" s="211"/>
      <c r="G693" s="211"/>
      <c r="H693" s="211"/>
      <c r="I693" s="211"/>
      <c r="J693" s="211"/>
      <c r="K693" s="211"/>
      <c r="L693" s="211"/>
      <c r="M693" s="211"/>
      <c r="N693" s="211"/>
    </row>
    <row r="694" spans="1:14">
      <c r="A694" s="211"/>
      <c r="B694" s="211"/>
      <c r="C694" s="211"/>
      <c r="D694" s="211"/>
      <c r="E694" s="211"/>
      <c r="F694" s="211"/>
      <c r="G694" s="211"/>
      <c r="H694" s="211"/>
      <c r="I694" s="211"/>
      <c r="J694" s="211"/>
      <c r="K694" s="211"/>
      <c r="L694" s="211"/>
      <c r="M694" s="211"/>
      <c r="N694" s="211"/>
    </row>
    <row r="695" spans="1:14">
      <c r="A695" s="211"/>
      <c r="B695" s="211"/>
      <c r="C695" s="211"/>
      <c r="D695" s="211"/>
      <c r="E695" s="211"/>
      <c r="F695" s="211"/>
      <c r="G695" s="211"/>
      <c r="H695" s="211"/>
      <c r="I695" s="211"/>
      <c r="J695" s="211"/>
      <c r="K695" s="211"/>
      <c r="L695" s="211"/>
      <c r="M695" s="211"/>
      <c r="N695" s="211"/>
    </row>
    <row r="696" spans="1:14">
      <c r="A696" s="211"/>
      <c r="B696" s="211"/>
      <c r="C696" s="211"/>
      <c r="D696" s="211"/>
      <c r="E696" s="211"/>
      <c r="F696" s="211"/>
      <c r="G696" s="211"/>
      <c r="H696" s="211"/>
      <c r="I696" s="211"/>
      <c r="J696" s="211"/>
      <c r="K696" s="211"/>
      <c r="L696" s="211"/>
      <c r="M696" s="211"/>
      <c r="N696" s="211"/>
    </row>
    <row r="697" spans="1:14">
      <c r="A697" s="211"/>
      <c r="B697" s="211"/>
      <c r="C697" s="211"/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</row>
    <row r="698" spans="1:14">
      <c r="A698" s="211"/>
      <c r="B698" s="211"/>
      <c r="C698" s="211"/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</row>
    <row r="699" spans="1:14">
      <c r="A699" s="211"/>
      <c r="B699" s="211"/>
      <c r="C699" s="211"/>
      <c r="D699" s="211"/>
      <c r="E699" s="211"/>
      <c r="F699" s="211"/>
      <c r="G699" s="211"/>
      <c r="H699" s="211"/>
      <c r="I699" s="211"/>
      <c r="J699" s="211"/>
      <c r="K699" s="211"/>
      <c r="L699" s="211"/>
      <c r="M699" s="211"/>
      <c r="N699" s="211"/>
    </row>
    <row r="700" spans="1:14">
      <c r="A700" s="211"/>
      <c r="B700" s="211"/>
      <c r="C700" s="211"/>
      <c r="D700" s="211"/>
      <c r="E700" s="211"/>
      <c r="F700" s="211"/>
      <c r="G700" s="211"/>
      <c r="H700" s="211"/>
      <c r="I700" s="211"/>
      <c r="J700" s="211"/>
      <c r="K700" s="211"/>
      <c r="L700" s="211"/>
      <c r="M700" s="211"/>
      <c r="N700" s="211"/>
    </row>
    <row r="701" spans="1:14">
      <c r="A701" s="211"/>
      <c r="B701" s="211"/>
      <c r="C701" s="211"/>
      <c r="D701" s="211"/>
      <c r="E701" s="211"/>
      <c r="F701" s="211"/>
      <c r="G701" s="211"/>
      <c r="H701" s="211"/>
      <c r="I701" s="211"/>
      <c r="J701" s="211"/>
      <c r="K701" s="211"/>
      <c r="L701" s="211"/>
      <c r="M701" s="211"/>
      <c r="N701" s="211"/>
    </row>
    <row r="702" spans="1:14">
      <c r="A702" s="211"/>
      <c r="B702" s="211"/>
      <c r="C702" s="211"/>
      <c r="D702" s="211"/>
      <c r="E702" s="211"/>
      <c r="F702" s="211"/>
      <c r="G702" s="211"/>
      <c r="H702" s="211"/>
      <c r="I702" s="211"/>
      <c r="J702" s="211"/>
      <c r="K702" s="211"/>
      <c r="L702" s="211"/>
      <c r="M702" s="211"/>
      <c r="N702" s="211"/>
    </row>
    <row r="703" spans="1:14">
      <c r="A703" s="211"/>
      <c r="B703" s="211"/>
      <c r="C703" s="211"/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</row>
    <row r="704" spans="1:14">
      <c r="A704" s="211"/>
      <c r="B704" s="211"/>
      <c r="C704" s="211"/>
      <c r="D704" s="211"/>
      <c r="E704" s="211"/>
      <c r="F704" s="211"/>
      <c r="G704" s="211"/>
      <c r="H704" s="211"/>
      <c r="I704" s="211"/>
      <c r="J704" s="211"/>
      <c r="K704" s="211"/>
      <c r="L704" s="211"/>
      <c r="M704" s="211"/>
      <c r="N704" s="211"/>
    </row>
    <row r="705" spans="1:14">
      <c r="A705" s="211"/>
      <c r="B705" s="211"/>
      <c r="C705" s="211"/>
      <c r="D705" s="211"/>
      <c r="E705" s="211"/>
      <c r="F705" s="211"/>
      <c r="G705" s="211"/>
      <c r="H705" s="211"/>
      <c r="I705" s="211"/>
      <c r="J705" s="211"/>
      <c r="K705" s="211"/>
      <c r="L705" s="211"/>
      <c r="M705" s="211"/>
      <c r="N705" s="211"/>
    </row>
    <row r="706" spans="1:14">
      <c r="A706" s="211"/>
      <c r="B706" s="211"/>
      <c r="C706" s="211"/>
      <c r="D706" s="211"/>
      <c r="E706" s="211"/>
      <c r="F706" s="211"/>
      <c r="G706" s="211"/>
      <c r="H706" s="211"/>
      <c r="I706" s="211"/>
      <c r="J706" s="211"/>
      <c r="K706" s="211"/>
      <c r="L706" s="211"/>
      <c r="M706" s="211"/>
      <c r="N706" s="211"/>
    </row>
    <row r="707" spans="1:14">
      <c r="A707" s="211"/>
      <c r="B707" s="211"/>
      <c r="C707" s="211"/>
      <c r="D707" s="211"/>
      <c r="E707" s="211"/>
      <c r="F707" s="211"/>
      <c r="G707" s="211"/>
      <c r="H707" s="211"/>
      <c r="I707" s="211"/>
      <c r="J707" s="211"/>
      <c r="K707" s="211"/>
      <c r="L707" s="211"/>
      <c r="M707" s="211"/>
      <c r="N707" s="211"/>
    </row>
    <row r="708" spans="1:14">
      <c r="A708" s="211"/>
      <c r="B708" s="211"/>
      <c r="C708" s="211"/>
      <c r="D708" s="211"/>
      <c r="E708" s="211"/>
      <c r="F708" s="211"/>
      <c r="G708" s="211"/>
      <c r="H708" s="211"/>
      <c r="I708" s="211"/>
      <c r="J708" s="211"/>
      <c r="K708" s="211"/>
      <c r="L708" s="211"/>
      <c r="M708" s="211"/>
      <c r="N708" s="211"/>
    </row>
    <row r="709" spans="1:14">
      <c r="A709" s="211"/>
      <c r="B709" s="211"/>
      <c r="C709" s="211"/>
      <c r="D709" s="211"/>
      <c r="E709" s="211"/>
      <c r="F709" s="211"/>
      <c r="G709" s="211"/>
      <c r="H709" s="211"/>
      <c r="I709" s="211"/>
      <c r="J709" s="211"/>
      <c r="K709" s="211"/>
      <c r="L709" s="211"/>
      <c r="M709" s="211"/>
      <c r="N709" s="211"/>
    </row>
    <row r="710" spans="1:14">
      <c r="A710" s="211"/>
      <c r="B710" s="211"/>
      <c r="C710" s="211"/>
      <c r="D710" s="211"/>
      <c r="E710" s="211"/>
      <c r="F710" s="211"/>
      <c r="G710" s="211"/>
      <c r="H710" s="211"/>
      <c r="I710" s="211"/>
      <c r="J710" s="211"/>
      <c r="K710" s="211"/>
      <c r="L710" s="211"/>
      <c r="M710" s="211"/>
      <c r="N710" s="211"/>
    </row>
    <row r="711" spans="1:14">
      <c r="A711" s="211"/>
      <c r="B711" s="211"/>
      <c r="C711" s="211"/>
      <c r="D711" s="211"/>
      <c r="E711" s="211"/>
      <c r="F711" s="211"/>
      <c r="G711" s="211"/>
      <c r="H711" s="211"/>
      <c r="I711" s="211"/>
      <c r="J711" s="211"/>
      <c r="K711" s="211"/>
      <c r="L711" s="211"/>
      <c r="M711" s="211"/>
      <c r="N711" s="211"/>
    </row>
    <row r="712" spans="1:14">
      <c r="A712" s="211"/>
      <c r="B712" s="211"/>
      <c r="C712" s="211"/>
      <c r="D712" s="211"/>
      <c r="E712" s="211"/>
      <c r="F712" s="211"/>
      <c r="G712" s="211"/>
      <c r="H712" s="211"/>
      <c r="I712" s="211"/>
      <c r="J712" s="211"/>
      <c r="K712" s="211"/>
      <c r="L712" s="211"/>
      <c r="M712" s="211"/>
      <c r="N712" s="211"/>
    </row>
    <row r="713" spans="1:14">
      <c r="A713" s="211"/>
      <c r="B713" s="211"/>
      <c r="C713" s="211"/>
      <c r="D713" s="211"/>
      <c r="E713" s="211"/>
      <c r="F713" s="211"/>
      <c r="G713" s="211"/>
      <c r="H713" s="211"/>
      <c r="I713" s="211"/>
      <c r="J713" s="211"/>
      <c r="K713" s="211"/>
      <c r="L713" s="211"/>
      <c r="M713" s="211"/>
      <c r="N713" s="211"/>
    </row>
    <row r="714" spans="1:14">
      <c r="A714" s="211"/>
      <c r="B714" s="211"/>
      <c r="C714" s="211"/>
      <c r="D714" s="211"/>
      <c r="E714" s="211"/>
      <c r="F714" s="211"/>
      <c r="G714" s="211"/>
      <c r="H714" s="211"/>
      <c r="I714" s="211"/>
      <c r="J714" s="211"/>
      <c r="K714" s="211"/>
      <c r="L714" s="211"/>
      <c r="M714" s="211"/>
      <c r="N714" s="211"/>
    </row>
    <row r="715" spans="1:14">
      <c r="A715" s="211"/>
      <c r="B715" s="211"/>
      <c r="C715" s="211"/>
      <c r="D715" s="211"/>
      <c r="E715" s="211"/>
      <c r="F715" s="211"/>
      <c r="G715" s="211"/>
      <c r="H715" s="211"/>
      <c r="I715" s="211"/>
      <c r="J715" s="211"/>
      <c r="K715" s="211"/>
      <c r="L715" s="211"/>
      <c r="M715" s="211"/>
      <c r="N715" s="211"/>
    </row>
    <row r="716" spans="1:14">
      <c r="A716" s="211"/>
      <c r="B716" s="211"/>
      <c r="C716" s="211"/>
      <c r="D716" s="211"/>
      <c r="E716" s="211"/>
      <c r="F716" s="211"/>
      <c r="G716" s="211"/>
      <c r="H716" s="211"/>
      <c r="I716" s="211"/>
      <c r="J716" s="211"/>
      <c r="K716" s="211"/>
      <c r="L716" s="211"/>
      <c r="M716" s="211"/>
      <c r="N716" s="211"/>
    </row>
    <row r="717" spans="1:14">
      <c r="A717" s="211"/>
      <c r="B717" s="211"/>
      <c r="C717" s="211"/>
      <c r="D717" s="211"/>
      <c r="E717" s="211"/>
      <c r="F717" s="211"/>
      <c r="G717" s="211"/>
      <c r="H717" s="211"/>
      <c r="I717" s="211"/>
      <c r="J717" s="211"/>
      <c r="K717" s="211"/>
      <c r="L717" s="211"/>
      <c r="M717" s="211"/>
      <c r="N717" s="211"/>
    </row>
    <row r="718" spans="1:14">
      <c r="A718" s="211"/>
      <c r="B718" s="211"/>
      <c r="C718" s="211"/>
      <c r="D718" s="211"/>
      <c r="E718" s="211"/>
      <c r="F718" s="211"/>
      <c r="G718" s="211"/>
      <c r="H718" s="211"/>
      <c r="I718" s="211"/>
      <c r="J718" s="211"/>
      <c r="K718" s="211"/>
      <c r="L718" s="211"/>
      <c r="M718" s="211"/>
      <c r="N718" s="211"/>
    </row>
    <row r="719" spans="1:14">
      <c r="A719" s="211"/>
      <c r="B719" s="211"/>
      <c r="C719" s="211"/>
      <c r="D719" s="211"/>
      <c r="E719" s="211"/>
      <c r="F719" s="211"/>
      <c r="G719" s="211"/>
      <c r="H719" s="211"/>
      <c r="I719" s="211"/>
      <c r="J719" s="211"/>
      <c r="K719" s="211"/>
      <c r="L719" s="211"/>
      <c r="M719" s="211"/>
      <c r="N719" s="211"/>
    </row>
    <row r="720" spans="1:14">
      <c r="A720" s="211"/>
      <c r="B720" s="211"/>
      <c r="C720" s="211"/>
      <c r="D720" s="211"/>
      <c r="E720" s="211"/>
      <c r="F720" s="211"/>
      <c r="G720" s="211"/>
      <c r="H720" s="211"/>
      <c r="I720" s="211"/>
      <c r="J720" s="211"/>
      <c r="K720" s="211"/>
      <c r="L720" s="211"/>
      <c r="M720" s="211"/>
      <c r="N720" s="211"/>
    </row>
    <row r="721" spans="1:14">
      <c r="A721" s="211"/>
      <c r="B721" s="211"/>
      <c r="C721" s="211"/>
      <c r="D721" s="211"/>
      <c r="E721" s="211"/>
      <c r="F721" s="211"/>
      <c r="G721" s="211"/>
      <c r="H721" s="211"/>
      <c r="I721" s="211"/>
      <c r="J721" s="211"/>
      <c r="K721" s="211"/>
      <c r="L721" s="211"/>
      <c r="M721" s="211"/>
      <c r="N721" s="211"/>
    </row>
    <row r="722" spans="1:14">
      <c r="A722" s="211"/>
      <c r="B722" s="211"/>
      <c r="C722" s="211"/>
      <c r="D722" s="211"/>
      <c r="E722" s="211"/>
      <c r="F722" s="211"/>
      <c r="G722" s="211"/>
      <c r="H722" s="211"/>
      <c r="I722" s="211"/>
      <c r="J722" s="211"/>
      <c r="K722" s="211"/>
      <c r="L722" s="211"/>
      <c r="M722" s="211"/>
      <c r="N722" s="211"/>
    </row>
    <row r="723" spans="1:14">
      <c r="A723" s="211"/>
      <c r="B723" s="211"/>
      <c r="C723" s="211"/>
      <c r="D723" s="211"/>
      <c r="E723" s="211"/>
      <c r="F723" s="211"/>
      <c r="G723" s="211"/>
      <c r="H723" s="211"/>
      <c r="I723" s="211"/>
      <c r="J723" s="211"/>
      <c r="K723" s="211"/>
      <c r="L723" s="211"/>
      <c r="M723" s="211"/>
      <c r="N723" s="211"/>
    </row>
    <row r="724" spans="1:14">
      <c r="A724" s="211"/>
      <c r="B724" s="211"/>
      <c r="C724" s="211"/>
      <c r="D724" s="211"/>
      <c r="E724" s="211"/>
      <c r="F724" s="211"/>
      <c r="G724" s="211"/>
      <c r="H724" s="211"/>
      <c r="I724" s="211"/>
      <c r="J724" s="211"/>
      <c r="K724" s="211"/>
      <c r="L724" s="211"/>
      <c r="M724" s="211"/>
      <c r="N724" s="211"/>
    </row>
    <row r="725" spans="1:14">
      <c r="A725" s="211"/>
      <c r="B725" s="211"/>
      <c r="C725" s="211"/>
      <c r="D725" s="211"/>
      <c r="E725" s="211"/>
      <c r="F725" s="211"/>
      <c r="G725" s="211"/>
      <c r="H725" s="211"/>
      <c r="I725" s="211"/>
      <c r="J725" s="211"/>
      <c r="K725" s="211"/>
      <c r="L725" s="211"/>
      <c r="M725" s="211"/>
      <c r="N725" s="211"/>
    </row>
    <row r="726" spans="1:14">
      <c r="A726" s="211"/>
      <c r="B726" s="211"/>
      <c r="C726" s="211"/>
      <c r="D726" s="211"/>
      <c r="E726" s="211"/>
      <c r="F726" s="211"/>
      <c r="G726" s="211"/>
      <c r="H726" s="211"/>
      <c r="I726" s="211"/>
      <c r="J726" s="211"/>
      <c r="K726" s="211"/>
      <c r="L726" s="211"/>
      <c r="M726" s="211"/>
      <c r="N726" s="211"/>
    </row>
    <row r="727" spans="1:14">
      <c r="A727" s="211"/>
      <c r="B727" s="211"/>
      <c r="C727" s="211"/>
      <c r="D727" s="211"/>
      <c r="E727" s="211"/>
      <c r="F727" s="211"/>
      <c r="G727" s="211"/>
      <c r="H727" s="211"/>
      <c r="I727" s="211"/>
      <c r="J727" s="211"/>
      <c r="K727" s="211"/>
      <c r="L727" s="211"/>
      <c r="M727" s="211"/>
      <c r="N727" s="211"/>
    </row>
    <row r="728" spans="1:14">
      <c r="A728" s="211"/>
      <c r="B728" s="211"/>
      <c r="C728" s="211"/>
      <c r="D728" s="211"/>
      <c r="E728" s="211"/>
      <c r="F728" s="211"/>
      <c r="G728" s="211"/>
      <c r="H728" s="211"/>
      <c r="I728" s="211"/>
      <c r="J728" s="211"/>
      <c r="K728" s="211"/>
      <c r="L728" s="211"/>
      <c r="M728" s="211"/>
      <c r="N728" s="211"/>
    </row>
    <row r="729" spans="1:14">
      <c r="A729" s="211"/>
      <c r="B729" s="211"/>
      <c r="C729" s="211"/>
      <c r="D729" s="211"/>
      <c r="E729" s="211"/>
      <c r="F729" s="211"/>
      <c r="G729" s="211"/>
      <c r="H729" s="211"/>
      <c r="I729" s="211"/>
      <c r="J729" s="211"/>
      <c r="K729" s="211"/>
      <c r="L729" s="211"/>
      <c r="M729" s="211"/>
      <c r="N729" s="211"/>
    </row>
    <row r="730" spans="1:14">
      <c r="A730" s="211"/>
      <c r="B730" s="211"/>
      <c r="C730" s="211"/>
      <c r="D730" s="211"/>
      <c r="E730" s="211"/>
      <c r="F730" s="211"/>
      <c r="G730" s="211"/>
      <c r="H730" s="211"/>
      <c r="I730" s="211"/>
      <c r="J730" s="211"/>
      <c r="K730" s="211"/>
      <c r="L730" s="211"/>
      <c r="M730" s="211"/>
      <c r="N730" s="211"/>
    </row>
    <row r="731" spans="1:14">
      <c r="A731" s="211"/>
      <c r="B731" s="211"/>
      <c r="C731" s="211"/>
      <c r="D731" s="211"/>
      <c r="E731" s="211"/>
      <c r="F731" s="211"/>
      <c r="G731" s="211"/>
      <c r="H731" s="211"/>
      <c r="I731" s="211"/>
      <c r="J731" s="211"/>
      <c r="K731" s="211"/>
      <c r="L731" s="211"/>
      <c r="M731" s="211"/>
      <c r="N731" s="211"/>
    </row>
    <row r="732" spans="1:14">
      <c r="A732" s="211"/>
      <c r="B732" s="211"/>
      <c r="C732" s="211"/>
      <c r="D732" s="211"/>
      <c r="E732" s="211"/>
      <c r="F732" s="211"/>
      <c r="G732" s="211"/>
      <c r="H732" s="211"/>
      <c r="I732" s="211"/>
      <c r="J732" s="211"/>
      <c r="K732" s="211"/>
      <c r="L732" s="211"/>
      <c r="M732" s="211"/>
      <c r="N732" s="211"/>
    </row>
    <row r="733" spans="1:14">
      <c r="A733" s="211"/>
      <c r="B733" s="211"/>
      <c r="C733" s="211"/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</row>
    <row r="734" spans="1:14">
      <c r="A734" s="211"/>
      <c r="B734" s="211"/>
      <c r="C734" s="211"/>
      <c r="D734" s="211"/>
      <c r="E734" s="211"/>
      <c r="F734" s="211"/>
      <c r="G734" s="211"/>
      <c r="H734" s="211"/>
      <c r="I734" s="211"/>
      <c r="J734" s="211"/>
      <c r="K734" s="211"/>
      <c r="L734" s="211"/>
      <c r="M734" s="211"/>
      <c r="N734" s="211"/>
    </row>
    <row r="735" spans="1:14">
      <c r="A735" s="211"/>
      <c r="B735" s="211"/>
      <c r="C735" s="211"/>
      <c r="D735" s="211"/>
      <c r="E735" s="211"/>
      <c r="F735" s="211"/>
      <c r="G735" s="211"/>
      <c r="H735" s="211"/>
      <c r="I735" s="211"/>
      <c r="J735" s="211"/>
      <c r="K735" s="211"/>
      <c r="L735" s="211"/>
      <c r="M735" s="211"/>
      <c r="N735" s="211"/>
    </row>
    <row r="736" spans="1:14">
      <c r="A736" s="211"/>
      <c r="B736" s="211"/>
      <c r="C736" s="211"/>
      <c r="D736" s="211"/>
      <c r="E736" s="211"/>
      <c r="F736" s="211"/>
      <c r="G736" s="211"/>
      <c r="H736" s="211"/>
      <c r="I736" s="211"/>
      <c r="J736" s="211"/>
      <c r="K736" s="211"/>
      <c r="L736" s="211"/>
      <c r="M736" s="211"/>
      <c r="N736" s="211"/>
    </row>
    <row r="737" spans="1:14">
      <c r="A737" s="211"/>
      <c r="B737" s="211"/>
      <c r="C737" s="211"/>
      <c r="D737" s="211"/>
      <c r="E737" s="211"/>
      <c r="F737" s="211"/>
      <c r="G737" s="211"/>
      <c r="H737" s="211"/>
      <c r="I737" s="211"/>
      <c r="J737" s="211"/>
      <c r="K737" s="211"/>
      <c r="L737" s="211"/>
      <c r="M737" s="211"/>
      <c r="N737" s="211"/>
    </row>
    <row r="738" spans="1:14">
      <c r="A738" s="211"/>
      <c r="B738" s="211"/>
      <c r="C738" s="211"/>
      <c r="D738" s="211"/>
      <c r="E738" s="211"/>
      <c r="F738" s="211"/>
      <c r="G738" s="211"/>
      <c r="H738" s="211"/>
      <c r="I738" s="211"/>
      <c r="J738" s="211"/>
      <c r="K738" s="211"/>
      <c r="L738" s="211"/>
      <c r="M738" s="211"/>
      <c r="N738" s="211"/>
    </row>
    <row r="739" spans="1:14">
      <c r="A739" s="211"/>
      <c r="B739" s="211"/>
      <c r="C739" s="211"/>
      <c r="D739" s="211"/>
      <c r="E739" s="211"/>
      <c r="F739" s="211"/>
      <c r="G739" s="211"/>
      <c r="H739" s="211"/>
      <c r="I739" s="211"/>
      <c r="J739" s="211"/>
      <c r="K739" s="211"/>
      <c r="L739" s="211"/>
      <c r="M739" s="211"/>
      <c r="N739" s="211"/>
    </row>
    <row r="740" spans="1:14">
      <c r="A740" s="211"/>
      <c r="B740" s="211"/>
      <c r="C740" s="211"/>
      <c r="D740" s="211"/>
      <c r="E740" s="211"/>
      <c r="F740" s="211"/>
      <c r="G740" s="211"/>
      <c r="H740" s="211"/>
      <c r="I740" s="211"/>
      <c r="J740" s="211"/>
      <c r="K740" s="211"/>
      <c r="L740" s="211"/>
      <c r="M740" s="211"/>
      <c r="N740" s="211"/>
    </row>
    <row r="741" spans="1:14">
      <c r="A741" s="211"/>
      <c r="B741" s="211"/>
      <c r="C741" s="211"/>
      <c r="D741" s="211"/>
      <c r="E741" s="211"/>
      <c r="F741" s="211"/>
      <c r="G741" s="211"/>
      <c r="H741" s="211"/>
      <c r="I741" s="211"/>
      <c r="J741" s="211"/>
      <c r="K741" s="211"/>
      <c r="L741" s="211"/>
      <c r="M741" s="211"/>
      <c r="N741" s="211"/>
    </row>
    <row r="742" spans="1:14">
      <c r="A742" s="211"/>
      <c r="B742" s="211"/>
      <c r="C742" s="211"/>
      <c r="D742" s="211"/>
      <c r="E742" s="211"/>
      <c r="F742" s="211"/>
      <c r="G742" s="211"/>
      <c r="H742" s="211"/>
      <c r="I742" s="211"/>
      <c r="J742" s="211"/>
      <c r="K742" s="211"/>
      <c r="L742" s="211"/>
      <c r="M742" s="211"/>
      <c r="N742" s="211"/>
    </row>
    <row r="743" spans="1:14">
      <c r="A743" s="211"/>
      <c r="B743" s="211"/>
      <c r="C743" s="211"/>
      <c r="D743" s="211"/>
      <c r="E743" s="211"/>
      <c r="F743" s="211"/>
      <c r="G743" s="211"/>
      <c r="H743" s="211"/>
      <c r="I743" s="211"/>
      <c r="J743" s="211"/>
      <c r="K743" s="211"/>
      <c r="L743" s="211"/>
      <c r="M743" s="211"/>
      <c r="N743" s="211"/>
    </row>
    <row r="744" spans="1:14">
      <c r="A744" s="211"/>
      <c r="B744" s="211"/>
      <c r="C744" s="211"/>
      <c r="D744" s="211"/>
      <c r="E744" s="211"/>
      <c r="F744" s="211"/>
      <c r="G744" s="211"/>
      <c r="H744" s="211"/>
      <c r="I744" s="211"/>
      <c r="J744" s="211"/>
      <c r="K744" s="211"/>
      <c r="L744" s="211"/>
      <c r="M744" s="211"/>
      <c r="N744" s="211"/>
    </row>
    <row r="745" spans="1:14">
      <c r="A745" s="211"/>
      <c r="B745" s="211"/>
      <c r="C745" s="211"/>
      <c r="D745" s="211"/>
      <c r="E745" s="211"/>
      <c r="F745" s="211"/>
      <c r="G745" s="211"/>
      <c r="H745" s="211"/>
      <c r="I745" s="211"/>
      <c r="J745" s="211"/>
      <c r="K745" s="211"/>
      <c r="L745" s="211"/>
      <c r="M745" s="211"/>
      <c r="N745" s="211"/>
    </row>
    <row r="746" spans="1:14">
      <c r="A746" s="211"/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</row>
    <row r="747" spans="1:14">
      <c r="A747" s="211"/>
      <c r="B747" s="211"/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</row>
    <row r="748" spans="1:14">
      <c r="A748" s="211"/>
      <c r="B748" s="211"/>
      <c r="C748" s="211"/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</row>
    <row r="749" spans="1:14">
      <c r="A749" s="211"/>
      <c r="B749" s="211"/>
      <c r="C749" s="211"/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</row>
    <row r="750" spans="1:14">
      <c r="A750" s="211"/>
      <c r="B750" s="211"/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</row>
    <row r="751" spans="1:14">
      <c r="A751" s="211"/>
      <c r="B751" s="211"/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</row>
    <row r="752" spans="1:14">
      <c r="A752" s="211"/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</row>
    <row r="753" spans="1:14">
      <c r="A753" s="211"/>
      <c r="B753" s="211"/>
      <c r="C753" s="211"/>
      <c r="D753" s="211"/>
      <c r="E753" s="211"/>
      <c r="F753" s="211"/>
      <c r="G753" s="211"/>
      <c r="H753" s="211"/>
      <c r="I753" s="211"/>
      <c r="J753" s="211"/>
      <c r="K753" s="211"/>
      <c r="L753" s="211"/>
      <c r="M753" s="211"/>
      <c r="N753" s="211"/>
    </row>
    <row r="754" spans="1:14">
      <c r="A754" s="211"/>
      <c r="B754" s="211"/>
      <c r="C754" s="211"/>
      <c r="D754" s="211"/>
      <c r="E754" s="211"/>
      <c r="F754" s="211"/>
      <c r="G754" s="211"/>
      <c r="H754" s="211"/>
      <c r="I754" s="211"/>
      <c r="J754" s="211"/>
      <c r="K754" s="211"/>
      <c r="L754" s="211"/>
      <c r="M754" s="211"/>
      <c r="N754" s="211"/>
    </row>
    <row r="755" spans="1:14">
      <c r="A755" s="211"/>
      <c r="B755" s="211"/>
      <c r="C755" s="211"/>
      <c r="D755" s="211"/>
      <c r="E755" s="211"/>
      <c r="F755" s="211"/>
      <c r="G755" s="211"/>
      <c r="H755" s="211"/>
      <c r="I755" s="211"/>
      <c r="J755" s="211"/>
      <c r="K755" s="211"/>
      <c r="L755" s="211"/>
      <c r="M755" s="211"/>
      <c r="N755" s="211"/>
    </row>
    <row r="756" spans="1:14">
      <c r="A756" s="211"/>
      <c r="B756" s="211"/>
      <c r="C756" s="211"/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</row>
    <row r="757" spans="1:14">
      <c r="A757" s="211"/>
      <c r="B757" s="211"/>
      <c r="C757" s="211"/>
      <c r="D757" s="211"/>
      <c r="E757" s="211"/>
      <c r="F757" s="211"/>
      <c r="G757" s="211"/>
      <c r="H757" s="211"/>
      <c r="I757" s="211"/>
      <c r="J757" s="211"/>
      <c r="K757" s="211"/>
      <c r="L757" s="211"/>
      <c r="M757" s="211"/>
      <c r="N757" s="211"/>
    </row>
    <row r="758" spans="1:14">
      <c r="A758" s="211"/>
      <c r="B758" s="211"/>
      <c r="C758" s="211"/>
      <c r="D758" s="211"/>
      <c r="E758" s="211"/>
      <c r="F758" s="211"/>
      <c r="G758" s="211"/>
      <c r="H758" s="211"/>
      <c r="I758" s="211"/>
      <c r="J758" s="211"/>
      <c r="K758" s="211"/>
      <c r="L758" s="211"/>
      <c r="M758" s="211"/>
      <c r="N758" s="211"/>
    </row>
    <row r="759" spans="1:14">
      <c r="A759" s="211"/>
      <c r="B759" s="211"/>
      <c r="C759" s="211"/>
      <c r="D759" s="211"/>
      <c r="E759" s="211"/>
      <c r="F759" s="211"/>
      <c r="G759" s="211"/>
      <c r="H759" s="211"/>
      <c r="I759" s="211"/>
      <c r="J759" s="211"/>
      <c r="K759" s="211"/>
      <c r="L759" s="211"/>
      <c r="M759" s="211"/>
      <c r="N759" s="211"/>
    </row>
    <row r="760" spans="1:14">
      <c r="A760" s="211"/>
      <c r="B760" s="211"/>
      <c r="C760" s="211"/>
      <c r="D760" s="211"/>
      <c r="E760" s="211"/>
      <c r="F760" s="211"/>
      <c r="G760" s="211"/>
      <c r="H760" s="211"/>
      <c r="I760" s="211"/>
      <c r="J760" s="211"/>
      <c r="K760" s="211"/>
      <c r="L760" s="211"/>
      <c r="M760" s="211"/>
      <c r="N760" s="211"/>
    </row>
    <row r="761" spans="1:14">
      <c r="A761" s="211"/>
      <c r="B761" s="211"/>
      <c r="C761" s="211"/>
      <c r="D761" s="211"/>
      <c r="E761" s="211"/>
      <c r="F761" s="211"/>
      <c r="G761" s="211"/>
      <c r="H761" s="211"/>
      <c r="I761" s="211"/>
      <c r="J761" s="211"/>
      <c r="K761" s="211"/>
      <c r="L761" s="211"/>
      <c r="M761" s="211"/>
      <c r="N761" s="211"/>
    </row>
    <row r="762" spans="1:14">
      <c r="A762" s="211"/>
      <c r="B762" s="211"/>
      <c r="C762" s="211"/>
      <c r="D762" s="211"/>
      <c r="E762" s="211"/>
      <c r="F762" s="211"/>
      <c r="G762" s="211"/>
      <c r="H762" s="211"/>
      <c r="I762" s="211"/>
      <c r="J762" s="211"/>
      <c r="K762" s="211"/>
      <c r="L762" s="211"/>
      <c r="M762" s="211"/>
      <c r="N762" s="211"/>
    </row>
    <row r="763" spans="1:14">
      <c r="A763" s="211"/>
      <c r="B763" s="211"/>
      <c r="C763" s="211"/>
      <c r="D763" s="211"/>
      <c r="E763" s="211"/>
      <c r="F763" s="211"/>
      <c r="G763" s="211"/>
      <c r="H763" s="211"/>
      <c r="I763" s="211"/>
      <c r="J763" s="211"/>
      <c r="K763" s="211"/>
      <c r="L763" s="211"/>
      <c r="M763" s="211"/>
      <c r="N763" s="211"/>
    </row>
    <row r="764" spans="1:14">
      <c r="A764" s="211"/>
      <c r="B764" s="211"/>
      <c r="C764" s="211"/>
      <c r="D764" s="211"/>
      <c r="E764" s="211"/>
      <c r="F764" s="211"/>
      <c r="G764" s="211"/>
      <c r="H764" s="211"/>
      <c r="I764" s="211"/>
      <c r="J764" s="211"/>
      <c r="K764" s="211"/>
      <c r="L764" s="211"/>
      <c r="M764" s="211"/>
      <c r="N764" s="211"/>
    </row>
    <row r="765" spans="1:14">
      <c r="A765" s="211"/>
      <c r="B765" s="211"/>
      <c r="C765" s="211"/>
      <c r="D765" s="211"/>
      <c r="E765" s="211"/>
      <c r="F765" s="211"/>
      <c r="G765" s="211"/>
      <c r="H765" s="211"/>
      <c r="I765" s="211"/>
      <c r="J765" s="211"/>
      <c r="K765" s="211"/>
      <c r="L765" s="211"/>
      <c r="M765" s="211"/>
      <c r="N765" s="211"/>
    </row>
    <row r="766" spans="1:14">
      <c r="A766" s="211"/>
      <c r="B766" s="211"/>
      <c r="C766" s="211"/>
      <c r="D766" s="211"/>
      <c r="E766" s="211"/>
      <c r="F766" s="211"/>
      <c r="G766" s="211"/>
      <c r="H766" s="211"/>
      <c r="I766" s="211"/>
      <c r="J766" s="211"/>
      <c r="K766" s="211"/>
      <c r="L766" s="211"/>
      <c r="M766" s="211"/>
      <c r="N766" s="211"/>
    </row>
    <row r="767" spans="1:14">
      <c r="A767" s="211"/>
      <c r="B767" s="211"/>
      <c r="C767" s="211"/>
      <c r="D767" s="211"/>
      <c r="E767" s="211"/>
      <c r="F767" s="211"/>
      <c r="G767" s="211"/>
      <c r="H767" s="211"/>
      <c r="I767" s="211"/>
      <c r="J767" s="211"/>
      <c r="K767" s="211"/>
      <c r="L767" s="211"/>
      <c r="M767" s="211"/>
      <c r="N767" s="211"/>
    </row>
    <row r="768" spans="1:14">
      <c r="A768" s="211"/>
      <c r="B768" s="211"/>
      <c r="C768" s="211"/>
      <c r="D768" s="211"/>
      <c r="E768" s="211"/>
      <c r="F768" s="211"/>
      <c r="G768" s="211"/>
      <c r="H768" s="211"/>
      <c r="I768" s="211"/>
      <c r="J768" s="211"/>
      <c r="K768" s="211"/>
      <c r="L768" s="211"/>
      <c r="M768" s="211"/>
      <c r="N768" s="211"/>
    </row>
    <row r="769" spans="1:14">
      <c r="A769" s="211"/>
      <c r="B769" s="211"/>
      <c r="C769" s="211"/>
      <c r="D769" s="211"/>
      <c r="E769" s="211"/>
      <c r="F769" s="211"/>
      <c r="G769" s="211"/>
      <c r="H769" s="211"/>
      <c r="I769" s="211"/>
      <c r="J769" s="211"/>
      <c r="K769" s="211"/>
      <c r="L769" s="211"/>
      <c r="M769" s="211"/>
      <c r="N769" s="211"/>
    </row>
    <row r="770" spans="1:14">
      <c r="A770" s="211"/>
      <c r="B770" s="211"/>
      <c r="C770" s="211"/>
      <c r="D770" s="211"/>
      <c r="E770" s="211"/>
      <c r="F770" s="211"/>
      <c r="G770" s="211"/>
      <c r="H770" s="211"/>
      <c r="I770" s="211"/>
      <c r="J770" s="211"/>
      <c r="K770" s="211"/>
      <c r="L770" s="211"/>
      <c r="M770" s="211"/>
      <c r="N770" s="211"/>
    </row>
    <row r="771" spans="1:14">
      <c r="A771" s="211"/>
      <c r="B771" s="211"/>
      <c r="C771" s="211"/>
      <c r="D771" s="211"/>
      <c r="E771" s="211"/>
      <c r="F771" s="211"/>
      <c r="G771" s="211"/>
      <c r="H771" s="211"/>
      <c r="I771" s="211"/>
      <c r="J771" s="211"/>
      <c r="K771" s="211"/>
      <c r="L771" s="211"/>
      <c r="M771" s="211"/>
      <c r="N771" s="211"/>
    </row>
    <row r="772" spans="1:14">
      <c r="A772" s="211"/>
      <c r="B772" s="211"/>
      <c r="C772" s="211"/>
      <c r="D772" s="211"/>
      <c r="E772" s="211"/>
      <c r="F772" s="211"/>
      <c r="G772" s="211"/>
      <c r="H772" s="211"/>
      <c r="I772" s="211"/>
      <c r="J772" s="211"/>
      <c r="K772" s="211"/>
      <c r="L772" s="211"/>
      <c r="M772" s="211"/>
      <c r="N772" s="211"/>
    </row>
    <row r="773" spans="1:14">
      <c r="A773" s="211"/>
      <c r="B773" s="211"/>
      <c r="C773" s="211"/>
      <c r="D773" s="211"/>
      <c r="E773" s="211"/>
      <c r="F773" s="211"/>
      <c r="G773" s="211"/>
      <c r="H773" s="211"/>
      <c r="I773" s="211"/>
      <c r="J773" s="211"/>
      <c r="K773" s="211"/>
      <c r="L773" s="211"/>
      <c r="M773" s="211"/>
      <c r="N773" s="211"/>
    </row>
    <row r="774" spans="1:14">
      <c r="A774" s="211"/>
      <c r="B774" s="211"/>
      <c r="C774" s="211"/>
      <c r="D774" s="211"/>
      <c r="E774" s="211"/>
      <c r="F774" s="211"/>
      <c r="G774" s="211"/>
      <c r="H774" s="211"/>
      <c r="I774" s="211"/>
      <c r="J774" s="211"/>
      <c r="K774" s="211"/>
      <c r="L774" s="211"/>
      <c r="M774" s="211"/>
      <c r="N774" s="211"/>
    </row>
    <row r="775" spans="1:14">
      <c r="A775" s="211"/>
      <c r="B775" s="211"/>
      <c r="C775" s="211"/>
      <c r="D775" s="211"/>
      <c r="E775" s="211"/>
      <c r="F775" s="211"/>
      <c r="G775" s="211"/>
      <c r="H775" s="211"/>
      <c r="I775" s="211"/>
      <c r="J775" s="211"/>
      <c r="K775" s="211"/>
      <c r="L775" s="211"/>
      <c r="M775" s="211"/>
      <c r="N775" s="211"/>
    </row>
    <row r="776" spans="1:14">
      <c r="A776" s="211"/>
      <c r="B776" s="211"/>
      <c r="C776" s="211"/>
      <c r="D776" s="211"/>
      <c r="E776" s="211"/>
      <c r="F776" s="211"/>
      <c r="G776" s="211"/>
      <c r="H776" s="211"/>
      <c r="I776" s="211"/>
      <c r="J776" s="211"/>
      <c r="K776" s="211"/>
      <c r="L776" s="211"/>
      <c r="M776" s="211"/>
      <c r="N776" s="211"/>
    </row>
    <row r="777" spans="1:14">
      <c r="A777" s="211"/>
      <c r="B777" s="211"/>
      <c r="C777" s="211"/>
      <c r="D777" s="211"/>
      <c r="E777" s="211"/>
      <c r="F777" s="211"/>
      <c r="G777" s="211"/>
      <c r="H777" s="211"/>
      <c r="I777" s="211"/>
      <c r="J777" s="211"/>
      <c r="K777" s="211"/>
      <c r="L777" s="211"/>
      <c r="M777" s="211"/>
      <c r="N777" s="211"/>
    </row>
    <row r="778" spans="1:14">
      <c r="A778" s="211"/>
      <c r="B778" s="211"/>
      <c r="C778" s="211"/>
      <c r="D778" s="211"/>
      <c r="E778" s="211"/>
      <c r="F778" s="211"/>
      <c r="G778" s="211"/>
      <c r="H778" s="211"/>
      <c r="I778" s="211"/>
      <c r="J778" s="211"/>
      <c r="K778" s="211"/>
      <c r="L778" s="211"/>
      <c r="M778" s="211"/>
      <c r="N778" s="211"/>
    </row>
    <row r="779" spans="1:14">
      <c r="A779" s="211"/>
      <c r="B779" s="211"/>
      <c r="C779" s="211"/>
      <c r="D779" s="211"/>
      <c r="E779" s="211"/>
      <c r="F779" s="211"/>
      <c r="G779" s="211"/>
      <c r="H779" s="211"/>
      <c r="I779" s="211"/>
      <c r="J779" s="211"/>
      <c r="K779" s="211"/>
      <c r="L779" s="211"/>
      <c r="M779" s="211"/>
      <c r="N779" s="211"/>
    </row>
    <row r="780" spans="1:14">
      <c r="A780" s="211"/>
      <c r="B780" s="211"/>
      <c r="C780" s="211"/>
      <c r="D780" s="211"/>
      <c r="E780" s="211"/>
      <c r="F780" s="211"/>
      <c r="G780" s="211"/>
      <c r="H780" s="211"/>
      <c r="I780" s="211"/>
      <c r="J780" s="211"/>
      <c r="K780" s="211"/>
      <c r="L780" s="211"/>
      <c r="M780" s="211"/>
      <c r="N780" s="211"/>
    </row>
    <row r="781" spans="1:14">
      <c r="A781" s="211"/>
      <c r="B781" s="211"/>
      <c r="C781" s="211"/>
      <c r="D781" s="211"/>
      <c r="E781" s="211"/>
      <c r="F781" s="211"/>
      <c r="G781" s="211"/>
      <c r="H781" s="211"/>
      <c r="I781" s="211"/>
      <c r="J781" s="211"/>
      <c r="K781" s="211"/>
      <c r="L781" s="211"/>
      <c r="M781" s="211"/>
      <c r="N781" s="211"/>
    </row>
    <row r="782" spans="1:14">
      <c r="A782" s="211"/>
      <c r="B782" s="211"/>
      <c r="C782" s="211"/>
      <c r="D782" s="211"/>
      <c r="E782" s="211"/>
      <c r="F782" s="211"/>
      <c r="G782" s="211"/>
      <c r="H782" s="211"/>
      <c r="I782" s="211"/>
      <c r="J782" s="211"/>
      <c r="K782" s="211"/>
      <c r="L782" s="211"/>
      <c r="M782" s="211"/>
      <c r="N782" s="211"/>
    </row>
    <row r="783" spans="1:14">
      <c r="A783" s="211"/>
      <c r="B783" s="211"/>
      <c r="C783" s="211"/>
      <c r="D783" s="211"/>
      <c r="E783" s="211"/>
      <c r="F783" s="211"/>
      <c r="G783" s="211"/>
      <c r="H783" s="211"/>
      <c r="I783" s="211"/>
      <c r="J783" s="211"/>
      <c r="K783" s="211"/>
      <c r="L783" s="211"/>
      <c r="M783" s="211"/>
      <c r="N783" s="211"/>
    </row>
    <row r="784" spans="1:14">
      <c r="A784" s="211"/>
      <c r="B784" s="211"/>
      <c r="C784" s="211"/>
      <c r="D784" s="211"/>
      <c r="E784" s="211"/>
      <c r="F784" s="211"/>
      <c r="G784" s="211"/>
      <c r="H784" s="211"/>
      <c r="I784" s="211"/>
      <c r="J784" s="211"/>
      <c r="K784" s="211"/>
      <c r="L784" s="211"/>
      <c r="M784" s="211"/>
      <c r="N784" s="211"/>
    </row>
    <row r="785" spans="1:14">
      <c r="A785" s="211"/>
      <c r="B785" s="211"/>
      <c r="C785" s="211"/>
      <c r="D785" s="211"/>
      <c r="E785" s="211"/>
      <c r="F785" s="211"/>
      <c r="G785" s="211"/>
      <c r="H785" s="211"/>
      <c r="I785" s="211"/>
      <c r="J785" s="211"/>
      <c r="K785" s="211"/>
      <c r="L785" s="211"/>
      <c r="M785" s="211"/>
      <c r="N785" s="211"/>
    </row>
    <row r="786" spans="1:14">
      <c r="A786" s="211"/>
      <c r="B786" s="211"/>
      <c r="C786" s="211"/>
      <c r="D786" s="211"/>
      <c r="E786" s="211"/>
      <c r="F786" s="211"/>
      <c r="G786" s="211"/>
      <c r="H786" s="211"/>
      <c r="I786" s="211"/>
      <c r="J786" s="211"/>
      <c r="K786" s="211"/>
      <c r="L786" s="211"/>
      <c r="M786" s="211"/>
      <c r="N786" s="211"/>
    </row>
    <row r="787" spans="1:14">
      <c r="A787" s="211"/>
      <c r="B787" s="211"/>
      <c r="C787" s="211"/>
      <c r="D787" s="211"/>
      <c r="E787" s="211"/>
      <c r="F787" s="211"/>
      <c r="G787" s="211"/>
      <c r="H787" s="211"/>
      <c r="I787" s="211"/>
      <c r="J787" s="211"/>
      <c r="K787" s="211"/>
      <c r="L787" s="211"/>
      <c r="M787" s="211"/>
      <c r="N787" s="211"/>
    </row>
    <row r="788" spans="1:14">
      <c r="A788" s="211"/>
      <c r="B788" s="211"/>
      <c r="C788" s="211"/>
      <c r="D788" s="211"/>
      <c r="E788" s="211"/>
      <c r="F788" s="211"/>
      <c r="G788" s="211"/>
      <c r="H788" s="211"/>
      <c r="I788" s="211"/>
      <c r="J788" s="211"/>
      <c r="K788" s="211"/>
      <c r="L788" s="211"/>
      <c r="M788" s="211"/>
      <c r="N788" s="211"/>
    </row>
    <row r="789" spans="1:14">
      <c r="A789" s="211"/>
      <c r="B789" s="211"/>
      <c r="C789" s="211"/>
      <c r="D789" s="211"/>
      <c r="E789" s="211"/>
      <c r="F789" s="211"/>
      <c r="G789" s="211"/>
      <c r="H789" s="211"/>
      <c r="I789" s="211"/>
      <c r="J789" s="211"/>
      <c r="K789" s="211"/>
      <c r="L789" s="211"/>
      <c r="M789" s="211"/>
      <c r="N789" s="211"/>
    </row>
    <row r="790" spans="1:14">
      <c r="A790" s="211"/>
      <c r="B790" s="211"/>
      <c r="C790" s="211"/>
      <c r="D790" s="211"/>
      <c r="E790" s="211"/>
      <c r="F790" s="211"/>
      <c r="G790" s="211"/>
      <c r="H790" s="211"/>
      <c r="I790" s="211"/>
      <c r="J790" s="211"/>
      <c r="K790" s="211"/>
      <c r="L790" s="211"/>
      <c r="M790" s="211"/>
      <c r="N790" s="211"/>
    </row>
    <row r="791" spans="1:14">
      <c r="A791" s="211"/>
      <c r="B791" s="211"/>
      <c r="C791" s="211"/>
      <c r="D791" s="211"/>
      <c r="E791" s="211"/>
      <c r="F791" s="211"/>
      <c r="G791" s="211"/>
      <c r="H791" s="211"/>
      <c r="I791" s="211"/>
      <c r="J791" s="211"/>
      <c r="K791" s="211"/>
      <c r="L791" s="211"/>
      <c r="M791" s="211"/>
      <c r="N791" s="211"/>
    </row>
    <row r="792" spans="1:14">
      <c r="A792" s="211"/>
      <c r="B792" s="211"/>
      <c r="C792" s="211"/>
      <c r="D792" s="211"/>
      <c r="E792" s="211"/>
      <c r="F792" s="211"/>
      <c r="G792" s="211"/>
      <c r="H792" s="211"/>
      <c r="I792" s="211"/>
      <c r="J792" s="211"/>
      <c r="K792" s="211"/>
      <c r="L792" s="211"/>
      <c r="M792" s="211"/>
      <c r="N792" s="211"/>
    </row>
    <row r="793" spans="1:14">
      <c r="A793" s="211"/>
      <c r="B793" s="211"/>
      <c r="C793" s="211"/>
      <c r="D793" s="211"/>
      <c r="E793" s="211"/>
      <c r="F793" s="211"/>
      <c r="G793" s="211"/>
      <c r="H793" s="211"/>
      <c r="I793" s="211"/>
      <c r="J793" s="211"/>
      <c r="K793" s="211"/>
      <c r="L793" s="211"/>
      <c r="M793" s="211"/>
      <c r="N793" s="211"/>
    </row>
    <row r="794" spans="1:14">
      <c r="A794" s="211"/>
      <c r="B794" s="211"/>
      <c r="C794" s="211"/>
      <c r="D794" s="211"/>
      <c r="E794" s="211"/>
      <c r="F794" s="211"/>
      <c r="G794" s="211"/>
      <c r="H794" s="211"/>
      <c r="I794" s="211"/>
      <c r="J794" s="211"/>
      <c r="K794" s="211"/>
      <c r="L794" s="211"/>
      <c r="M794" s="211"/>
      <c r="N794" s="211"/>
    </row>
    <row r="795" spans="1:14">
      <c r="A795" s="211"/>
      <c r="B795" s="211"/>
      <c r="C795" s="211"/>
      <c r="D795" s="211"/>
      <c r="E795" s="211"/>
      <c r="F795" s="211"/>
      <c r="G795" s="211"/>
      <c r="H795" s="211"/>
      <c r="I795" s="211"/>
      <c r="J795" s="211"/>
      <c r="K795" s="211"/>
      <c r="L795" s="211"/>
      <c r="M795" s="211"/>
      <c r="N795" s="211"/>
    </row>
    <row r="796" spans="1:14">
      <c r="A796" s="211"/>
      <c r="B796" s="211"/>
      <c r="C796" s="211"/>
      <c r="D796" s="211"/>
      <c r="E796" s="211"/>
      <c r="F796" s="211"/>
      <c r="G796" s="211"/>
      <c r="H796" s="211"/>
      <c r="I796" s="211"/>
      <c r="J796" s="211"/>
      <c r="K796" s="211"/>
      <c r="L796" s="211"/>
      <c r="M796" s="211"/>
      <c r="N796" s="211"/>
    </row>
    <row r="797" spans="1:14">
      <c r="A797" s="211"/>
      <c r="B797" s="211"/>
      <c r="C797" s="211"/>
      <c r="D797" s="211"/>
      <c r="E797" s="211"/>
      <c r="F797" s="211"/>
      <c r="G797" s="211"/>
      <c r="H797" s="211"/>
      <c r="I797" s="211"/>
      <c r="J797" s="211"/>
      <c r="K797" s="211"/>
      <c r="L797" s="211"/>
      <c r="M797" s="211"/>
      <c r="N797" s="211"/>
    </row>
    <row r="798" spans="1:14">
      <c r="A798" s="211"/>
      <c r="B798" s="211"/>
      <c r="C798" s="211"/>
      <c r="D798" s="211"/>
      <c r="E798" s="211"/>
      <c r="F798" s="211"/>
      <c r="G798" s="211"/>
      <c r="H798" s="211"/>
      <c r="I798" s="211"/>
      <c r="J798" s="211"/>
      <c r="K798" s="211"/>
      <c r="L798" s="211"/>
      <c r="M798" s="211"/>
      <c r="N798" s="211"/>
    </row>
    <row r="799" spans="1:14">
      <c r="A799" s="211"/>
      <c r="B799" s="211"/>
      <c r="C799" s="211"/>
      <c r="D799" s="211"/>
      <c r="E799" s="211"/>
      <c r="F799" s="211"/>
      <c r="G799" s="211"/>
      <c r="H799" s="211"/>
      <c r="I799" s="211"/>
      <c r="J799" s="211"/>
      <c r="K799" s="211"/>
      <c r="L799" s="211"/>
      <c r="M799" s="211"/>
      <c r="N799" s="211"/>
    </row>
    <row r="800" spans="1:14">
      <c r="A800" s="211"/>
      <c r="B800" s="211"/>
      <c r="C800" s="211"/>
      <c r="D800" s="211"/>
      <c r="E800" s="211"/>
      <c r="F800" s="211"/>
      <c r="G800" s="211"/>
      <c r="H800" s="211"/>
      <c r="I800" s="211"/>
      <c r="J800" s="211"/>
      <c r="K800" s="211"/>
      <c r="L800" s="211"/>
      <c r="M800" s="211"/>
      <c r="N800" s="211"/>
    </row>
    <row r="801" spans="1:14">
      <c r="A801" s="211"/>
      <c r="B801" s="211"/>
      <c r="C801" s="211"/>
      <c r="D801" s="211"/>
      <c r="E801" s="211"/>
      <c r="F801" s="211"/>
      <c r="G801" s="211"/>
      <c r="H801" s="211"/>
      <c r="I801" s="211"/>
      <c r="J801" s="211"/>
      <c r="K801" s="211"/>
      <c r="L801" s="211"/>
      <c r="M801" s="211"/>
      <c r="N801" s="211"/>
    </row>
    <row r="802" spans="1:14">
      <c r="A802" s="211"/>
      <c r="B802" s="211"/>
      <c r="C802" s="211"/>
      <c r="D802" s="211"/>
      <c r="E802" s="211"/>
      <c r="F802" s="211"/>
      <c r="G802" s="211"/>
      <c r="H802" s="211"/>
      <c r="I802" s="211"/>
      <c r="J802" s="211"/>
      <c r="K802" s="211"/>
      <c r="L802" s="211"/>
      <c r="M802" s="211"/>
      <c r="N802" s="211"/>
    </row>
    <row r="803" spans="1:14">
      <c r="A803" s="211"/>
      <c r="B803" s="211"/>
      <c r="C803" s="211"/>
      <c r="D803" s="211"/>
      <c r="E803" s="211"/>
      <c r="F803" s="211"/>
      <c r="G803" s="211"/>
      <c r="H803" s="211"/>
      <c r="I803" s="211"/>
      <c r="J803" s="211"/>
      <c r="K803" s="211"/>
      <c r="L803" s="211"/>
      <c r="M803" s="211"/>
      <c r="N803" s="211"/>
    </row>
    <row r="804" spans="1:14">
      <c r="A804" s="211"/>
      <c r="B804" s="211"/>
      <c r="C804" s="211"/>
      <c r="D804" s="211"/>
      <c r="E804" s="211"/>
      <c r="F804" s="211"/>
      <c r="G804" s="211"/>
      <c r="H804" s="211"/>
      <c r="I804" s="211"/>
      <c r="J804" s="211"/>
      <c r="K804" s="211"/>
      <c r="L804" s="211"/>
      <c r="M804" s="211"/>
      <c r="N804" s="211"/>
    </row>
    <row r="805" spans="1:14">
      <c r="A805" s="211"/>
      <c r="B805" s="211"/>
      <c r="C805" s="211"/>
      <c r="D805" s="211"/>
      <c r="E805" s="211"/>
      <c r="F805" s="211"/>
      <c r="G805" s="211"/>
      <c r="H805" s="211"/>
      <c r="I805" s="211"/>
      <c r="J805" s="211"/>
      <c r="K805" s="211"/>
      <c r="L805" s="211"/>
      <c r="M805" s="211"/>
      <c r="N805" s="211"/>
    </row>
    <row r="806" spans="1:14">
      <c r="A806" s="211"/>
      <c r="B806" s="211"/>
      <c r="C806" s="211"/>
      <c r="D806" s="211"/>
      <c r="E806" s="211"/>
      <c r="F806" s="211"/>
      <c r="G806" s="211"/>
      <c r="H806" s="211"/>
      <c r="I806" s="211"/>
      <c r="J806" s="211"/>
      <c r="K806" s="211"/>
      <c r="L806" s="211"/>
      <c r="M806" s="211"/>
      <c r="N806" s="211"/>
    </row>
    <row r="807" spans="1:14">
      <c r="A807" s="211"/>
      <c r="B807" s="211"/>
      <c r="C807" s="211"/>
      <c r="D807" s="211"/>
      <c r="E807" s="211"/>
      <c r="F807" s="211"/>
      <c r="G807" s="211"/>
      <c r="H807" s="211"/>
      <c r="I807" s="211"/>
      <c r="J807" s="211"/>
      <c r="K807" s="211"/>
      <c r="L807" s="211"/>
      <c r="M807" s="211"/>
      <c r="N807" s="211"/>
    </row>
    <row r="808" spans="1:14">
      <c r="A808" s="211"/>
      <c r="B808" s="211"/>
      <c r="C808" s="211"/>
      <c r="D808" s="211"/>
      <c r="E808" s="211"/>
      <c r="F808" s="211"/>
      <c r="G808" s="211"/>
      <c r="H808" s="211"/>
      <c r="I808" s="211"/>
      <c r="J808" s="211"/>
      <c r="K808" s="211"/>
      <c r="L808" s="211"/>
      <c r="M808" s="211"/>
      <c r="N808" s="211"/>
    </row>
    <row r="809" spans="1:14">
      <c r="A809" s="211"/>
      <c r="B809" s="211"/>
      <c r="C809" s="211"/>
      <c r="D809" s="211"/>
      <c r="E809" s="211"/>
      <c r="F809" s="211"/>
      <c r="G809" s="211"/>
      <c r="H809" s="211"/>
      <c r="I809" s="211"/>
      <c r="J809" s="211"/>
      <c r="K809" s="211"/>
      <c r="L809" s="211"/>
      <c r="M809" s="211"/>
      <c r="N809" s="211"/>
    </row>
    <row r="810" spans="1:14">
      <c r="A810" s="211"/>
      <c r="B810" s="211"/>
      <c r="C810" s="211"/>
      <c r="D810" s="211"/>
      <c r="E810" s="211"/>
      <c r="F810" s="211"/>
      <c r="G810" s="211"/>
      <c r="H810" s="211"/>
      <c r="I810" s="211"/>
      <c r="J810" s="211"/>
      <c r="K810" s="211"/>
      <c r="L810" s="211"/>
      <c r="M810" s="211"/>
      <c r="N810" s="211"/>
    </row>
    <row r="811" spans="1:14">
      <c r="A811" s="211"/>
      <c r="B811" s="211"/>
      <c r="C811" s="211"/>
      <c r="D811" s="211"/>
      <c r="E811" s="211"/>
      <c r="F811" s="211"/>
      <c r="G811" s="211"/>
      <c r="H811" s="211"/>
      <c r="I811" s="211"/>
      <c r="J811" s="211"/>
      <c r="K811" s="211"/>
      <c r="L811" s="211"/>
      <c r="M811" s="211"/>
      <c r="N811" s="211"/>
    </row>
    <row r="812" spans="1:14">
      <c r="A812" s="211"/>
      <c r="B812" s="211"/>
      <c r="C812" s="211"/>
      <c r="D812" s="211"/>
      <c r="E812" s="211"/>
      <c r="F812" s="211"/>
      <c r="G812" s="211"/>
      <c r="H812" s="211"/>
      <c r="I812" s="211"/>
      <c r="J812" s="211"/>
      <c r="K812" s="211"/>
      <c r="L812" s="211"/>
      <c r="M812" s="211"/>
      <c r="N812" s="211"/>
    </row>
    <row r="813" spans="1:14">
      <c r="A813" s="211"/>
      <c r="B813" s="211"/>
      <c r="C813" s="211"/>
      <c r="D813" s="211"/>
      <c r="E813" s="211"/>
      <c r="F813" s="211"/>
      <c r="G813" s="211"/>
      <c r="H813" s="211"/>
      <c r="I813" s="211"/>
      <c r="J813" s="211"/>
      <c r="K813" s="211"/>
      <c r="L813" s="211"/>
      <c r="M813" s="211"/>
      <c r="N813" s="211"/>
    </row>
    <row r="814" spans="1:14">
      <c r="A814" s="211"/>
      <c r="B814" s="211"/>
      <c r="C814" s="211"/>
      <c r="D814" s="211"/>
      <c r="E814" s="211"/>
      <c r="F814" s="211"/>
      <c r="G814" s="211"/>
      <c r="H814" s="211"/>
      <c r="I814" s="211"/>
      <c r="J814" s="211"/>
      <c r="K814" s="211"/>
      <c r="L814" s="211"/>
      <c r="M814" s="211"/>
      <c r="N814" s="211"/>
    </row>
    <row r="815" spans="1:14">
      <c r="A815" s="211"/>
      <c r="B815" s="211"/>
      <c r="C815" s="211"/>
      <c r="D815" s="211"/>
      <c r="E815" s="211"/>
      <c r="F815" s="211"/>
      <c r="G815" s="211"/>
      <c r="H815" s="211"/>
      <c r="I815" s="211"/>
      <c r="J815" s="211"/>
      <c r="K815" s="211"/>
      <c r="L815" s="211"/>
      <c r="M815" s="211"/>
      <c r="N815" s="211"/>
    </row>
    <row r="816" spans="1:14">
      <c r="A816" s="211"/>
      <c r="B816" s="211"/>
      <c r="C816" s="211"/>
      <c r="D816" s="211"/>
      <c r="E816" s="211"/>
      <c r="F816" s="211"/>
      <c r="G816" s="211"/>
      <c r="H816" s="211"/>
      <c r="I816" s="211"/>
      <c r="J816" s="211"/>
      <c r="K816" s="211"/>
      <c r="L816" s="211"/>
      <c r="M816" s="211"/>
      <c r="N816" s="211"/>
    </row>
    <row r="817" spans="1:14">
      <c r="A817" s="211"/>
      <c r="B817" s="211"/>
      <c r="C817" s="211"/>
      <c r="D817" s="211"/>
      <c r="E817" s="211"/>
      <c r="F817" s="211"/>
      <c r="G817" s="211"/>
      <c r="H817" s="211"/>
      <c r="I817" s="211"/>
      <c r="J817" s="211"/>
      <c r="K817" s="211"/>
      <c r="L817" s="211"/>
      <c r="M817" s="211"/>
      <c r="N817" s="211"/>
    </row>
    <row r="818" spans="1:14">
      <c r="A818" s="211"/>
      <c r="B818" s="211"/>
      <c r="C818" s="211"/>
      <c r="D818" s="211"/>
      <c r="E818" s="211"/>
      <c r="F818" s="211"/>
      <c r="G818" s="211"/>
      <c r="H818" s="211"/>
      <c r="I818" s="211"/>
      <c r="J818" s="211"/>
      <c r="K818" s="211"/>
      <c r="L818" s="211"/>
      <c r="M818" s="211"/>
      <c r="N818" s="211"/>
    </row>
    <row r="819" spans="1:14">
      <c r="A819" s="211"/>
      <c r="B819" s="211"/>
      <c r="C819" s="211"/>
      <c r="D819" s="211"/>
      <c r="E819" s="211"/>
      <c r="F819" s="211"/>
      <c r="G819" s="211"/>
      <c r="H819" s="211"/>
      <c r="I819" s="211"/>
      <c r="J819" s="211"/>
      <c r="K819" s="211"/>
      <c r="L819" s="211"/>
      <c r="M819" s="211"/>
      <c r="N819" s="211"/>
    </row>
    <row r="820" spans="1:14">
      <c r="A820" s="211"/>
      <c r="B820" s="211"/>
      <c r="C820" s="211"/>
      <c r="D820" s="211"/>
      <c r="E820" s="211"/>
      <c r="F820" s="211"/>
      <c r="G820" s="211"/>
      <c r="H820" s="211"/>
      <c r="I820" s="211"/>
      <c r="J820" s="211"/>
      <c r="K820" s="211"/>
      <c r="L820" s="211"/>
      <c r="M820" s="211"/>
      <c r="N820" s="211"/>
    </row>
    <row r="821" spans="1:14">
      <c r="A821" s="211"/>
      <c r="B821" s="211"/>
      <c r="C821" s="211"/>
      <c r="D821" s="211"/>
      <c r="E821" s="211"/>
      <c r="F821" s="211"/>
      <c r="G821" s="211"/>
      <c r="H821" s="211"/>
      <c r="I821" s="211"/>
      <c r="J821" s="211"/>
      <c r="K821" s="211"/>
      <c r="L821" s="211"/>
      <c r="M821" s="211"/>
      <c r="N821" s="211"/>
    </row>
    <row r="822" spans="1:14">
      <c r="A822" s="211"/>
      <c r="B822" s="211"/>
      <c r="C822" s="211"/>
      <c r="D822" s="211"/>
      <c r="E822" s="211"/>
      <c r="F822" s="211"/>
      <c r="G822" s="211"/>
      <c r="H822" s="211"/>
      <c r="I822" s="211"/>
      <c r="J822" s="211"/>
      <c r="K822" s="211"/>
      <c r="L822" s="211"/>
      <c r="M822" s="211"/>
      <c r="N822" s="211"/>
    </row>
    <row r="823" spans="1:14">
      <c r="A823" s="211"/>
      <c r="B823" s="211"/>
      <c r="C823" s="211"/>
      <c r="D823" s="211"/>
      <c r="E823" s="211"/>
      <c r="F823" s="211"/>
      <c r="G823" s="211"/>
      <c r="H823" s="211"/>
      <c r="I823" s="211"/>
      <c r="J823" s="211"/>
      <c r="K823" s="211"/>
      <c r="L823" s="211"/>
      <c r="M823" s="211"/>
      <c r="N823" s="211"/>
    </row>
    <row r="824" spans="1:14">
      <c r="A824" s="211"/>
      <c r="B824" s="211"/>
      <c r="C824" s="211"/>
      <c r="D824" s="211"/>
      <c r="E824" s="211"/>
      <c r="F824" s="211"/>
      <c r="G824" s="211"/>
      <c r="H824" s="211"/>
      <c r="I824" s="211"/>
      <c r="J824" s="211"/>
      <c r="K824" s="211"/>
      <c r="L824" s="211"/>
      <c r="M824" s="211"/>
      <c r="N824" s="211"/>
    </row>
    <row r="825" spans="1:14">
      <c r="A825" s="211"/>
      <c r="B825" s="211"/>
      <c r="C825" s="211"/>
      <c r="D825" s="211"/>
      <c r="E825" s="211"/>
      <c r="F825" s="211"/>
      <c r="G825" s="211"/>
      <c r="H825" s="211"/>
      <c r="I825" s="211"/>
      <c r="J825" s="211"/>
      <c r="K825" s="211"/>
      <c r="L825" s="211"/>
      <c r="M825" s="211"/>
      <c r="N825" s="211"/>
    </row>
    <row r="826" spans="1:14">
      <c r="A826" s="211"/>
      <c r="B826" s="211"/>
      <c r="C826" s="211"/>
      <c r="D826" s="211"/>
      <c r="E826" s="211"/>
      <c r="F826" s="211"/>
      <c r="G826" s="211"/>
      <c r="H826" s="211"/>
      <c r="I826" s="211"/>
      <c r="J826" s="211"/>
      <c r="K826" s="211"/>
      <c r="L826" s="211"/>
      <c r="M826" s="211"/>
      <c r="N826" s="211"/>
    </row>
    <row r="827" spans="1:14">
      <c r="A827" s="211"/>
      <c r="B827" s="211"/>
      <c r="C827" s="211"/>
      <c r="D827" s="211"/>
      <c r="E827" s="211"/>
      <c r="F827" s="211"/>
      <c r="G827" s="211"/>
      <c r="H827" s="211"/>
      <c r="I827" s="211"/>
      <c r="J827" s="211"/>
      <c r="K827" s="211"/>
      <c r="L827" s="211"/>
      <c r="M827" s="211"/>
      <c r="N827" s="211"/>
    </row>
    <row r="828" spans="1:14">
      <c r="A828" s="211"/>
      <c r="B828" s="211"/>
      <c r="C828" s="211"/>
      <c r="D828" s="211"/>
      <c r="E828" s="211"/>
      <c r="F828" s="211"/>
      <c r="G828" s="211"/>
      <c r="H828" s="211"/>
      <c r="I828" s="211"/>
      <c r="J828" s="211"/>
      <c r="K828" s="211"/>
      <c r="L828" s="211"/>
      <c r="M828" s="211"/>
      <c r="N828" s="211"/>
    </row>
    <row r="829" spans="1:14">
      <c r="A829" s="211"/>
      <c r="B829" s="211"/>
      <c r="C829" s="211"/>
      <c r="D829" s="211"/>
      <c r="E829" s="211"/>
      <c r="F829" s="211"/>
      <c r="G829" s="211"/>
      <c r="H829" s="211"/>
      <c r="I829" s="211"/>
      <c r="J829" s="211"/>
      <c r="K829" s="211"/>
      <c r="L829" s="211"/>
      <c r="M829" s="211"/>
      <c r="N829" s="211"/>
    </row>
    <row r="830" spans="1:14">
      <c r="A830" s="211"/>
      <c r="B830" s="211"/>
      <c r="C830" s="211"/>
      <c r="D830" s="211"/>
      <c r="E830" s="211"/>
      <c r="F830" s="211"/>
      <c r="G830" s="211"/>
      <c r="H830" s="211"/>
      <c r="I830" s="211"/>
      <c r="J830" s="211"/>
      <c r="K830" s="211"/>
      <c r="L830" s="211"/>
      <c r="M830" s="211"/>
      <c r="N830" s="211"/>
    </row>
    <row r="831" spans="1:14">
      <c r="A831" s="211"/>
      <c r="B831" s="211"/>
      <c r="C831" s="211"/>
      <c r="D831" s="211"/>
      <c r="E831" s="211"/>
      <c r="F831" s="211"/>
      <c r="G831" s="211"/>
      <c r="H831" s="211"/>
      <c r="I831" s="211"/>
      <c r="J831" s="211"/>
      <c r="K831" s="211"/>
      <c r="L831" s="211"/>
      <c r="M831" s="211"/>
      <c r="N831" s="211"/>
    </row>
    <row r="832" spans="1:14">
      <c r="A832" s="211"/>
      <c r="B832" s="211"/>
      <c r="C832" s="211"/>
      <c r="D832" s="211"/>
      <c r="E832" s="211"/>
      <c r="F832" s="211"/>
      <c r="G832" s="211"/>
      <c r="H832" s="211"/>
      <c r="I832" s="211"/>
      <c r="J832" s="211"/>
      <c r="K832" s="211"/>
      <c r="L832" s="211"/>
      <c r="M832" s="211"/>
      <c r="N832" s="211"/>
    </row>
    <row r="833" spans="1:14">
      <c r="A833" s="211"/>
      <c r="B833" s="211"/>
      <c r="C833" s="211"/>
      <c r="D833" s="211"/>
      <c r="E833" s="211"/>
      <c r="F833" s="211"/>
      <c r="G833" s="211"/>
      <c r="H833" s="211"/>
      <c r="I833" s="211"/>
      <c r="J833" s="211"/>
      <c r="K833" s="211"/>
      <c r="L833" s="211"/>
      <c r="M833" s="211"/>
      <c r="N833" s="211"/>
    </row>
    <row r="834" spans="1:14">
      <c r="A834" s="211"/>
      <c r="B834" s="211"/>
      <c r="C834" s="211"/>
      <c r="D834" s="211"/>
      <c r="E834" s="211"/>
      <c r="F834" s="211"/>
      <c r="G834" s="211"/>
      <c r="H834" s="211"/>
      <c r="I834" s="211"/>
      <c r="J834" s="211"/>
      <c r="K834" s="211"/>
      <c r="L834" s="211"/>
      <c r="M834" s="211"/>
      <c r="N834" s="211"/>
    </row>
    <row r="835" spans="1:14">
      <c r="A835" s="211"/>
      <c r="B835" s="211"/>
      <c r="C835" s="211"/>
      <c r="D835" s="211"/>
      <c r="E835" s="211"/>
      <c r="F835" s="211"/>
      <c r="G835" s="211"/>
      <c r="H835" s="211"/>
      <c r="I835" s="211"/>
      <c r="J835" s="211"/>
      <c r="K835" s="211"/>
      <c r="L835" s="211"/>
      <c r="M835" s="211"/>
      <c r="N835" s="211"/>
    </row>
    <row r="836" spans="1:14">
      <c r="A836" s="211"/>
      <c r="B836" s="211"/>
      <c r="C836" s="211"/>
      <c r="D836" s="211"/>
      <c r="E836" s="211"/>
      <c r="F836" s="211"/>
      <c r="G836" s="211"/>
      <c r="H836" s="211"/>
      <c r="I836" s="211"/>
      <c r="J836" s="211"/>
      <c r="K836" s="211"/>
      <c r="L836" s="211"/>
      <c r="M836" s="211"/>
      <c r="N836" s="211"/>
    </row>
    <row r="837" spans="1:14">
      <c r="A837" s="211"/>
      <c r="B837" s="211"/>
      <c r="C837" s="211"/>
      <c r="D837" s="211"/>
      <c r="E837" s="211"/>
      <c r="F837" s="211"/>
      <c r="G837" s="211"/>
      <c r="H837" s="211"/>
      <c r="I837" s="211"/>
      <c r="J837" s="211"/>
      <c r="K837" s="211"/>
      <c r="L837" s="211"/>
      <c r="M837" s="211"/>
      <c r="N837" s="211"/>
    </row>
    <row r="838" spans="1:14">
      <c r="A838" s="211"/>
      <c r="B838" s="211"/>
      <c r="C838" s="211"/>
      <c r="D838" s="211"/>
      <c r="E838" s="211"/>
      <c r="F838" s="211"/>
      <c r="G838" s="211"/>
      <c r="H838" s="211"/>
      <c r="I838" s="211"/>
      <c r="J838" s="211"/>
      <c r="K838" s="211"/>
      <c r="L838" s="211"/>
      <c r="M838" s="211"/>
      <c r="N838" s="211"/>
    </row>
    <row r="839" spans="1:14">
      <c r="A839" s="211"/>
      <c r="B839" s="211"/>
      <c r="C839" s="211"/>
      <c r="D839" s="211"/>
      <c r="E839" s="211"/>
      <c r="F839" s="211"/>
      <c r="G839" s="211"/>
      <c r="H839" s="211"/>
      <c r="I839" s="211"/>
      <c r="J839" s="211"/>
      <c r="K839" s="211"/>
      <c r="L839" s="211"/>
      <c r="M839" s="211"/>
      <c r="N839" s="211"/>
    </row>
    <row r="840" spans="1:14">
      <c r="A840" s="211"/>
      <c r="B840" s="211"/>
      <c r="C840" s="211"/>
      <c r="D840" s="211"/>
      <c r="E840" s="211"/>
      <c r="F840" s="211"/>
      <c r="G840" s="211"/>
      <c r="H840" s="211"/>
      <c r="I840" s="211"/>
      <c r="J840" s="211"/>
      <c r="K840" s="211"/>
      <c r="L840" s="211"/>
      <c r="M840" s="211"/>
      <c r="N840" s="211"/>
    </row>
    <row r="841" spans="1:14">
      <c r="A841" s="211"/>
      <c r="B841" s="211"/>
      <c r="C841" s="211"/>
      <c r="D841" s="211"/>
      <c r="E841" s="211"/>
      <c r="F841" s="211"/>
      <c r="G841" s="211"/>
      <c r="H841" s="211"/>
      <c r="I841" s="211"/>
      <c r="J841" s="211"/>
      <c r="K841" s="211"/>
      <c r="L841" s="211"/>
      <c r="M841" s="211"/>
      <c r="N841" s="211"/>
    </row>
    <row r="842" spans="1:14">
      <c r="A842" s="211"/>
      <c r="B842" s="211"/>
      <c r="C842" s="211"/>
      <c r="D842" s="211"/>
      <c r="E842" s="211"/>
      <c r="F842" s="211"/>
      <c r="G842" s="211"/>
      <c r="H842" s="211"/>
      <c r="I842" s="211"/>
      <c r="J842" s="211"/>
      <c r="K842" s="211"/>
      <c r="L842" s="211"/>
      <c r="M842" s="211"/>
      <c r="N842" s="211"/>
    </row>
    <row r="843" spans="1:14">
      <c r="A843" s="211"/>
      <c r="B843" s="211"/>
      <c r="C843" s="211"/>
      <c r="D843" s="211"/>
      <c r="E843" s="211"/>
      <c r="F843" s="211"/>
      <c r="G843" s="211"/>
      <c r="H843" s="211"/>
      <c r="I843" s="211"/>
      <c r="J843" s="211"/>
      <c r="K843" s="211"/>
      <c r="L843" s="211"/>
      <c r="M843" s="211"/>
      <c r="N843" s="211"/>
    </row>
    <row r="844" spans="1:14">
      <c r="A844" s="211"/>
      <c r="B844" s="211"/>
      <c r="C844" s="211"/>
      <c r="D844" s="211"/>
      <c r="E844" s="211"/>
      <c r="F844" s="211"/>
      <c r="G844" s="211"/>
      <c r="H844" s="211"/>
      <c r="I844" s="211"/>
      <c r="J844" s="211"/>
      <c r="K844" s="211"/>
      <c r="L844" s="211"/>
      <c r="M844" s="211"/>
      <c r="N844" s="211"/>
    </row>
    <row r="845" spans="1:14">
      <c r="A845" s="211"/>
      <c r="B845" s="211"/>
      <c r="C845" s="211"/>
      <c r="D845" s="211"/>
      <c r="E845" s="211"/>
      <c r="F845" s="211"/>
      <c r="G845" s="211"/>
      <c r="H845" s="211"/>
      <c r="I845" s="211"/>
      <c r="J845" s="211"/>
      <c r="K845" s="211"/>
      <c r="L845" s="211"/>
      <c r="M845" s="211"/>
      <c r="N845" s="211"/>
    </row>
    <row r="846" spans="1:14">
      <c r="A846" s="211"/>
      <c r="B846" s="211"/>
      <c r="C846" s="211"/>
      <c r="D846" s="211"/>
      <c r="E846" s="211"/>
      <c r="F846" s="211"/>
      <c r="G846" s="211"/>
      <c r="H846" s="211"/>
      <c r="I846" s="211"/>
      <c r="J846" s="211"/>
      <c r="K846" s="211"/>
      <c r="L846" s="211"/>
      <c r="M846" s="211"/>
      <c r="N846" s="211"/>
    </row>
    <row r="847" spans="1:14">
      <c r="A847" s="211"/>
      <c r="B847" s="211"/>
      <c r="C847" s="211"/>
      <c r="D847" s="211"/>
      <c r="E847" s="211"/>
      <c r="F847" s="211"/>
      <c r="G847" s="211"/>
      <c r="H847" s="211"/>
      <c r="I847" s="211"/>
      <c r="J847" s="211"/>
      <c r="K847" s="211"/>
      <c r="L847" s="211"/>
      <c r="M847" s="211"/>
      <c r="N847" s="211"/>
    </row>
    <row r="848" spans="1:14">
      <c r="A848" s="211"/>
      <c r="B848" s="211"/>
      <c r="C848" s="211"/>
      <c r="D848" s="211"/>
      <c r="E848" s="211"/>
      <c r="F848" s="211"/>
      <c r="G848" s="211"/>
      <c r="H848" s="211"/>
      <c r="I848" s="211"/>
      <c r="J848" s="211"/>
      <c r="K848" s="211"/>
      <c r="L848" s="211"/>
      <c r="M848" s="211"/>
      <c r="N848" s="211"/>
    </row>
    <row r="849" spans="1:14">
      <c r="A849" s="211"/>
      <c r="B849" s="211"/>
      <c r="C849" s="211"/>
      <c r="D849" s="211"/>
      <c r="E849" s="211"/>
      <c r="F849" s="211"/>
      <c r="G849" s="211"/>
      <c r="H849" s="211"/>
      <c r="I849" s="211"/>
      <c r="J849" s="211"/>
      <c r="K849" s="211"/>
      <c r="L849" s="211"/>
      <c r="M849" s="211"/>
      <c r="N849" s="211"/>
    </row>
    <row r="850" spans="1:14">
      <c r="A850" s="211"/>
      <c r="B850" s="211"/>
      <c r="C850" s="211"/>
      <c r="D850" s="211"/>
      <c r="E850" s="211"/>
      <c r="F850" s="211"/>
      <c r="G850" s="211"/>
      <c r="H850" s="211"/>
      <c r="I850" s="211"/>
      <c r="J850" s="211"/>
      <c r="K850" s="211"/>
      <c r="L850" s="211"/>
      <c r="M850" s="211"/>
      <c r="N850" s="211"/>
    </row>
    <row r="851" spans="1:14">
      <c r="A851" s="211"/>
      <c r="B851" s="211"/>
      <c r="C851" s="211"/>
      <c r="D851" s="211"/>
      <c r="E851" s="211"/>
      <c r="F851" s="211"/>
      <c r="G851" s="211"/>
      <c r="H851" s="211"/>
      <c r="I851" s="211"/>
      <c r="J851" s="211"/>
      <c r="K851" s="211"/>
      <c r="L851" s="211"/>
      <c r="M851" s="211"/>
      <c r="N851" s="211"/>
    </row>
    <row r="852" spans="1:14">
      <c r="A852" s="211"/>
      <c r="B852" s="211"/>
      <c r="C852" s="211"/>
      <c r="D852" s="211"/>
      <c r="E852" s="211"/>
      <c r="F852" s="211"/>
      <c r="G852" s="211"/>
      <c r="H852" s="211"/>
      <c r="I852" s="211"/>
      <c r="J852" s="211"/>
      <c r="K852" s="211"/>
      <c r="L852" s="211"/>
      <c r="M852" s="211"/>
      <c r="N852" s="211"/>
    </row>
    <row r="853" spans="1:14">
      <c r="A853" s="211"/>
      <c r="B853" s="211"/>
      <c r="C853" s="211"/>
      <c r="D853" s="211"/>
      <c r="E853" s="211"/>
      <c r="F853" s="211"/>
      <c r="G853" s="211"/>
      <c r="H853" s="211"/>
      <c r="I853" s="211"/>
      <c r="J853" s="211"/>
      <c r="K853" s="211"/>
      <c r="L853" s="211"/>
      <c r="M853" s="211"/>
      <c r="N853" s="211"/>
    </row>
    <row r="854" spans="1:14">
      <c r="A854" s="211"/>
      <c r="B854" s="211"/>
      <c r="C854" s="211"/>
      <c r="D854" s="211"/>
      <c r="E854" s="211"/>
      <c r="F854" s="211"/>
      <c r="G854" s="211"/>
      <c r="H854" s="211"/>
      <c r="I854" s="211"/>
      <c r="J854" s="211"/>
      <c r="K854" s="211"/>
      <c r="L854" s="211"/>
      <c r="M854" s="211"/>
      <c r="N854" s="211"/>
    </row>
    <row r="855" spans="1:14">
      <c r="A855" s="211"/>
      <c r="B855" s="211"/>
      <c r="C855" s="211"/>
      <c r="D855" s="211"/>
      <c r="E855" s="211"/>
      <c r="F855" s="211"/>
      <c r="G855" s="211"/>
      <c r="H855" s="211"/>
      <c r="I855" s="211"/>
      <c r="J855" s="211"/>
      <c r="K855" s="211"/>
      <c r="L855" s="211"/>
      <c r="M855" s="211"/>
      <c r="N855" s="211"/>
    </row>
    <row r="856" spans="1:14">
      <c r="A856" s="211"/>
      <c r="B856" s="211"/>
      <c r="C856" s="211"/>
      <c r="D856" s="211"/>
      <c r="E856" s="211"/>
      <c r="F856" s="211"/>
      <c r="G856" s="211"/>
      <c r="H856" s="211"/>
      <c r="I856" s="211"/>
      <c r="J856" s="211"/>
      <c r="K856" s="211"/>
      <c r="L856" s="211"/>
      <c r="M856" s="211"/>
      <c r="N856" s="211"/>
    </row>
    <row r="857" spans="1:14">
      <c r="A857" s="211"/>
      <c r="B857" s="211"/>
      <c r="C857" s="211"/>
      <c r="D857" s="211"/>
      <c r="E857" s="211"/>
      <c r="F857" s="211"/>
      <c r="G857" s="211"/>
      <c r="H857" s="211"/>
      <c r="I857" s="211"/>
      <c r="J857" s="211"/>
      <c r="K857" s="211"/>
      <c r="L857" s="211"/>
      <c r="M857" s="211"/>
      <c r="N857" s="211"/>
    </row>
    <row r="858" spans="1:14">
      <c r="A858" s="211"/>
      <c r="B858" s="211"/>
      <c r="C858" s="211"/>
      <c r="D858" s="211"/>
      <c r="E858" s="211"/>
      <c r="F858" s="211"/>
      <c r="G858" s="211"/>
      <c r="H858" s="211"/>
      <c r="I858" s="211"/>
      <c r="J858" s="211"/>
      <c r="K858" s="211"/>
      <c r="L858" s="211"/>
      <c r="M858" s="211"/>
      <c r="N858" s="211"/>
    </row>
    <row r="859" spans="1:14">
      <c r="A859" s="211"/>
      <c r="B859" s="211"/>
      <c r="C859" s="211"/>
      <c r="D859" s="211"/>
      <c r="E859" s="211"/>
      <c r="F859" s="211"/>
      <c r="G859" s="211"/>
      <c r="H859" s="211"/>
      <c r="I859" s="211"/>
      <c r="J859" s="211"/>
      <c r="K859" s="211"/>
      <c r="L859" s="211"/>
      <c r="M859" s="211"/>
      <c r="N859" s="211"/>
    </row>
    <row r="860" spans="1:14">
      <c r="A860" s="211"/>
      <c r="B860" s="211"/>
      <c r="C860" s="211"/>
      <c r="D860" s="211"/>
      <c r="E860" s="211"/>
      <c r="F860" s="211"/>
      <c r="G860" s="211"/>
      <c r="H860" s="211"/>
      <c r="I860" s="211"/>
      <c r="J860" s="211"/>
      <c r="K860" s="211"/>
      <c r="L860" s="211"/>
      <c r="M860" s="211"/>
      <c r="N860" s="211"/>
    </row>
    <row r="861" spans="1:14">
      <c r="A861" s="211"/>
      <c r="B861" s="211"/>
      <c r="C861" s="211"/>
      <c r="D861" s="211"/>
      <c r="E861" s="211"/>
      <c r="F861" s="211"/>
      <c r="G861" s="211"/>
      <c r="H861" s="211"/>
      <c r="I861" s="211"/>
      <c r="J861" s="211"/>
      <c r="K861" s="211"/>
      <c r="L861" s="211"/>
      <c r="M861" s="211"/>
      <c r="N861" s="211"/>
    </row>
    <row r="862" spans="1:14">
      <c r="A862" s="211"/>
      <c r="B862" s="211"/>
      <c r="C862" s="211"/>
      <c r="D862" s="211"/>
      <c r="E862" s="211"/>
      <c r="F862" s="211"/>
      <c r="G862" s="211"/>
      <c r="H862" s="211"/>
      <c r="I862" s="211"/>
      <c r="J862" s="211"/>
      <c r="K862" s="211"/>
      <c r="L862" s="211"/>
      <c r="M862" s="211"/>
      <c r="N862" s="211"/>
    </row>
    <row r="863" spans="1:14">
      <c r="A863" s="211"/>
      <c r="B863" s="211"/>
      <c r="C863" s="211"/>
      <c r="D863" s="211"/>
      <c r="E863" s="211"/>
      <c r="F863" s="211"/>
      <c r="G863" s="211"/>
      <c r="H863" s="211"/>
      <c r="I863" s="211"/>
      <c r="J863" s="211"/>
      <c r="K863" s="211"/>
      <c r="L863" s="211"/>
      <c r="M863" s="211"/>
      <c r="N863" s="211"/>
    </row>
    <row r="864" spans="1:14">
      <c r="A864" s="211"/>
      <c r="B864" s="211"/>
      <c r="C864" s="211"/>
      <c r="D864" s="211"/>
      <c r="E864" s="211"/>
      <c r="F864" s="211"/>
      <c r="G864" s="211"/>
      <c r="H864" s="211"/>
      <c r="I864" s="211"/>
      <c r="J864" s="211"/>
      <c r="K864" s="211"/>
      <c r="L864" s="211"/>
      <c r="M864" s="211"/>
      <c r="N864" s="211"/>
    </row>
    <row r="865" spans="1:14">
      <c r="A865" s="211"/>
      <c r="B865" s="211"/>
      <c r="C865" s="211"/>
      <c r="D865" s="211"/>
      <c r="E865" s="211"/>
      <c r="F865" s="211"/>
      <c r="G865" s="211"/>
      <c r="H865" s="211"/>
      <c r="I865" s="211"/>
      <c r="J865" s="211"/>
      <c r="K865" s="211"/>
      <c r="L865" s="211"/>
      <c r="M865" s="211"/>
      <c r="N865" s="211"/>
    </row>
    <row r="866" spans="1:14">
      <c r="A866" s="211"/>
      <c r="B866" s="211"/>
      <c r="C866" s="211"/>
      <c r="D866" s="211"/>
      <c r="E866" s="211"/>
      <c r="F866" s="211"/>
      <c r="G866" s="211"/>
      <c r="H866" s="211"/>
      <c r="I866" s="211"/>
      <c r="J866" s="211"/>
      <c r="K866" s="211"/>
      <c r="L866" s="211"/>
      <c r="M866" s="211"/>
      <c r="N866" s="211"/>
    </row>
    <row r="867" spans="1:14">
      <c r="A867" s="211"/>
      <c r="B867" s="211"/>
      <c r="C867" s="211"/>
      <c r="D867" s="211"/>
      <c r="E867" s="211"/>
      <c r="F867" s="211"/>
      <c r="G867" s="211"/>
      <c r="H867" s="211"/>
      <c r="I867" s="211"/>
      <c r="J867" s="211"/>
      <c r="K867" s="211"/>
      <c r="L867" s="211"/>
      <c r="M867" s="211"/>
      <c r="N867" s="211"/>
    </row>
    <row r="868" spans="1:14">
      <c r="A868" s="211"/>
      <c r="B868" s="211"/>
      <c r="C868" s="211"/>
      <c r="D868" s="211"/>
      <c r="E868" s="211"/>
      <c r="F868" s="211"/>
      <c r="G868" s="211"/>
      <c r="H868" s="211"/>
      <c r="I868" s="211"/>
      <c r="J868" s="211"/>
      <c r="K868" s="211"/>
      <c r="L868" s="211"/>
      <c r="M868" s="211"/>
      <c r="N868" s="211"/>
    </row>
    <row r="869" spans="1:14">
      <c r="A869" s="211"/>
      <c r="B869" s="211"/>
      <c r="C869" s="211"/>
      <c r="D869" s="211"/>
      <c r="E869" s="211"/>
      <c r="F869" s="211"/>
      <c r="G869" s="211"/>
      <c r="H869" s="211"/>
      <c r="I869" s="211"/>
      <c r="J869" s="211"/>
      <c r="K869" s="211"/>
      <c r="L869" s="211"/>
      <c r="M869" s="211"/>
      <c r="N869" s="211"/>
    </row>
    <row r="870" spans="1:14">
      <c r="A870" s="211"/>
      <c r="B870" s="211"/>
      <c r="C870" s="211"/>
      <c r="D870" s="211"/>
      <c r="E870" s="211"/>
      <c r="F870" s="211"/>
      <c r="G870" s="211"/>
      <c r="H870" s="211"/>
      <c r="I870" s="211"/>
      <c r="J870" s="211"/>
      <c r="K870" s="211"/>
      <c r="L870" s="211"/>
      <c r="M870" s="211"/>
      <c r="N870" s="211"/>
    </row>
    <row r="871" spans="1:14">
      <c r="A871" s="211"/>
      <c r="B871" s="211"/>
      <c r="C871" s="211"/>
      <c r="D871" s="211"/>
      <c r="E871" s="211"/>
      <c r="F871" s="211"/>
      <c r="G871" s="211"/>
      <c r="H871" s="211"/>
      <c r="I871" s="211"/>
      <c r="J871" s="211"/>
      <c r="K871" s="211"/>
      <c r="L871" s="211"/>
      <c r="M871" s="211"/>
      <c r="N871" s="211"/>
    </row>
    <row r="872" spans="1:14">
      <c r="A872" s="211"/>
      <c r="B872" s="211"/>
      <c r="C872" s="211"/>
      <c r="D872" s="211"/>
      <c r="E872" s="211"/>
      <c r="F872" s="211"/>
      <c r="G872" s="211"/>
      <c r="H872" s="211"/>
      <c r="I872" s="211"/>
      <c r="J872" s="211"/>
      <c r="K872" s="211"/>
      <c r="L872" s="211"/>
      <c r="M872" s="211"/>
      <c r="N872" s="211"/>
    </row>
    <row r="873" spans="1:14">
      <c r="A873" s="211"/>
      <c r="B873" s="211"/>
      <c r="C873" s="211"/>
      <c r="D873" s="211"/>
      <c r="E873" s="211"/>
      <c r="F873" s="211"/>
      <c r="G873" s="211"/>
      <c r="H873" s="211"/>
      <c r="I873" s="211"/>
      <c r="J873" s="211"/>
      <c r="K873" s="211"/>
      <c r="L873" s="211"/>
      <c r="M873" s="211"/>
      <c r="N873" s="211"/>
    </row>
    <row r="874" spans="1:14">
      <c r="A874" s="211"/>
      <c r="B874" s="211"/>
      <c r="C874" s="211"/>
      <c r="D874" s="211"/>
      <c r="E874" s="211"/>
      <c r="F874" s="211"/>
      <c r="G874" s="211"/>
      <c r="H874" s="211"/>
      <c r="I874" s="211"/>
      <c r="J874" s="211"/>
      <c r="K874" s="211"/>
      <c r="L874" s="211"/>
      <c r="M874" s="211"/>
      <c r="N874" s="211"/>
    </row>
    <row r="875" spans="1:14">
      <c r="A875" s="211"/>
      <c r="B875" s="211"/>
      <c r="C875" s="211"/>
      <c r="D875" s="211"/>
      <c r="E875" s="211"/>
      <c r="F875" s="211"/>
      <c r="G875" s="211"/>
      <c r="H875" s="211"/>
      <c r="I875" s="211"/>
      <c r="J875" s="211"/>
      <c r="K875" s="211"/>
      <c r="L875" s="211"/>
      <c r="M875" s="211"/>
      <c r="N875" s="211"/>
    </row>
    <row r="876" spans="1:14">
      <c r="A876" s="211"/>
      <c r="B876" s="211"/>
      <c r="C876" s="211"/>
      <c r="D876" s="211"/>
      <c r="E876" s="211"/>
      <c r="F876" s="211"/>
      <c r="G876" s="211"/>
      <c r="H876" s="211"/>
      <c r="I876" s="211"/>
      <c r="J876" s="211"/>
      <c r="K876" s="211"/>
      <c r="L876" s="211"/>
      <c r="M876" s="211"/>
      <c r="N876" s="211"/>
    </row>
    <row r="877" spans="1:14">
      <c r="A877" s="211"/>
      <c r="B877" s="211"/>
      <c r="C877" s="211"/>
      <c r="D877" s="211"/>
      <c r="E877" s="211"/>
      <c r="F877" s="211"/>
      <c r="G877" s="211"/>
      <c r="H877" s="211"/>
      <c r="I877" s="211"/>
      <c r="J877" s="211"/>
      <c r="K877" s="211"/>
      <c r="L877" s="211"/>
      <c r="M877" s="211"/>
      <c r="N877" s="211"/>
    </row>
    <row r="878" spans="1:14">
      <c r="A878" s="211"/>
      <c r="B878" s="211"/>
      <c r="C878" s="211"/>
      <c r="D878" s="211"/>
      <c r="E878" s="211"/>
      <c r="F878" s="211"/>
      <c r="G878" s="211"/>
      <c r="H878" s="211"/>
      <c r="I878" s="211"/>
      <c r="J878" s="211"/>
      <c r="K878" s="211"/>
      <c r="L878" s="211"/>
      <c r="M878" s="211"/>
      <c r="N878" s="211"/>
    </row>
    <row r="879" spans="1:14">
      <c r="A879" s="211"/>
      <c r="B879" s="211"/>
      <c r="C879" s="211"/>
      <c r="D879" s="211"/>
      <c r="E879" s="211"/>
      <c r="F879" s="211"/>
      <c r="G879" s="211"/>
      <c r="H879" s="211"/>
      <c r="I879" s="211"/>
      <c r="J879" s="211"/>
      <c r="K879" s="211"/>
      <c r="L879" s="211"/>
      <c r="M879" s="211"/>
      <c r="N879" s="211"/>
    </row>
    <row r="880" spans="1:14">
      <c r="A880" s="211"/>
      <c r="B880" s="211"/>
      <c r="C880" s="211"/>
      <c r="D880" s="211"/>
      <c r="E880" s="211"/>
      <c r="F880" s="211"/>
      <c r="G880" s="211"/>
      <c r="H880" s="211"/>
      <c r="I880" s="211"/>
      <c r="J880" s="211"/>
      <c r="K880" s="211"/>
      <c r="L880" s="211"/>
      <c r="M880" s="211"/>
      <c r="N880" s="211"/>
    </row>
    <row r="881" spans="1:14">
      <c r="A881" s="211"/>
      <c r="B881" s="211"/>
      <c r="C881" s="211"/>
      <c r="D881" s="211"/>
      <c r="E881" s="211"/>
      <c r="F881" s="211"/>
      <c r="G881" s="211"/>
      <c r="H881" s="211"/>
      <c r="I881" s="211"/>
      <c r="J881" s="211"/>
      <c r="K881" s="211"/>
      <c r="L881" s="211"/>
      <c r="M881" s="211"/>
      <c r="N881" s="211"/>
    </row>
    <row r="882" spans="1:14">
      <c r="A882" s="211"/>
      <c r="B882" s="211"/>
      <c r="C882" s="211"/>
      <c r="D882" s="211"/>
      <c r="E882" s="211"/>
      <c r="F882" s="211"/>
      <c r="G882" s="211"/>
      <c r="H882" s="211"/>
      <c r="I882" s="211"/>
      <c r="J882" s="211"/>
      <c r="K882" s="211"/>
      <c r="L882" s="211"/>
      <c r="M882" s="211"/>
      <c r="N882" s="211"/>
    </row>
    <row r="883" spans="1:14">
      <c r="A883" s="211"/>
      <c r="B883" s="211"/>
      <c r="C883" s="211"/>
      <c r="D883" s="211"/>
      <c r="E883" s="211"/>
      <c r="F883" s="211"/>
      <c r="G883" s="211"/>
      <c r="H883" s="211"/>
      <c r="I883" s="211"/>
      <c r="J883" s="211"/>
      <c r="K883" s="211"/>
      <c r="L883" s="211"/>
      <c r="M883" s="211"/>
      <c r="N883" s="211"/>
    </row>
    <row r="884" spans="1:14">
      <c r="A884" s="211"/>
      <c r="B884" s="211"/>
      <c r="C884" s="211"/>
      <c r="D884" s="211"/>
      <c r="E884" s="211"/>
      <c r="F884" s="211"/>
      <c r="G884" s="211"/>
      <c r="H884" s="211"/>
      <c r="I884" s="211"/>
      <c r="J884" s="211"/>
      <c r="K884" s="211"/>
      <c r="L884" s="211"/>
      <c r="M884" s="211"/>
      <c r="N884" s="211"/>
    </row>
    <row r="885" spans="1:14">
      <c r="A885" s="211"/>
      <c r="B885" s="211"/>
      <c r="C885" s="211"/>
      <c r="D885" s="211"/>
      <c r="E885" s="211"/>
      <c r="F885" s="211"/>
      <c r="G885" s="211"/>
      <c r="H885" s="211"/>
      <c r="I885" s="211"/>
      <c r="J885" s="211"/>
      <c r="K885" s="211"/>
      <c r="L885" s="211"/>
      <c r="M885" s="211"/>
      <c r="N885" s="211"/>
    </row>
    <row r="886" spans="1:14">
      <c r="A886" s="211"/>
      <c r="B886" s="211"/>
      <c r="C886" s="211"/>
      <c r="D886" s="211"/>
      <c r="E886" s="211"/>
      <c r="F886" s="211"/>
      <c r="G886" s="211"/>
      <c r="H886" s="211"/>
      <c r="I886" s="211"/>
      <c r="J886" s="211"/>
      <c r="K886" s="211"/>
      <c r="L886" s="211"/>
      <c r="M886" s="211"/>
      <c r="N886" s="211"/>
    </row>
    <row r="887" spans="1:14">
      <c r="A887" s="211"/>
      <c r="B887" s="211"/>
      <c r="C887" s="211"/>
      <c r="D887" s="211"/>
      <c r="E887" s="211"/>
      <c r="F887" s="211"/>
      <c r="G887" s="211"/>
      <c r="H887" s="211"/>
      <c r="I887" s="211"/>
      <c r="J887" s="211"/>
      <c r="K887" s="211"/>
      <c r="L887" s="211"/>
      <c r="M887" s="211"/>
      <c r="N887" s="211"/>
    </row>
    <row r="888" spans="1:14">
      <c r="A888" s="211"/>
      <c r="B888" s="211"/>
      <c r="C888" s="211"/>
      <c r="D888" s="211"/>
      <c r="E888" s="211"/>
      <c r="F888" s="211"/>
      <c r="G888" s="211"/>
      <c r="H888" s="211"/>
      <c r="I888" s="211"/>
      <c r="J888" s="211"/>
      <c r="K888" s="211"/>
      <c r="L888" s="211"/>
      <c r="M888" s="211"/>
      <c r="N888" s="211"/>
    </row>
    <row r="889" spans="1:14">
      <c r="A889" s="211"/>
      <c r="B889" s="211"/>
      <c r="C889" s="211"/>
      <c r="D889" s="211"/>
      <c r="E889" s="211"/>
      <c r="F889" s="211"/>
      <c r="G889" s="211"/>
      <c r="H889" s="211"/>
      <c r="I889" s="211"/>
      <c r="J889" s="211"/>
      <c r="K889" s="211"/>
      <c r="L889" s="211"/>
      <c r="M889" s="211"/>
      <c r="N889" s="211"/>
    </row>
    <row r="890" spans="1:14">
      <c r="A890" s="211"/>
      <c r="B890" s="211"/>
      <c r="C890" s="211"/>
      <c r="D890" s="211"/>
      <c r="E890" s="211"/>
      <c r="F890" s="211"/>
      <c r="G890" s="211"/>
      <c r="H890" s="211"/>
      <c r="I890" s="211"/>
      <c r="J890" s="211"/>
      <c r="K890" s="211"/>
      <c r="L890" s="211"/>
      <c r="M890" s="211"/>
      <c r="N890" s="211"/>
    </row>
    <row r="891" spans="1:14">
      <c r="A891" s="211"/>
      <c r="B891" s="211"/>
      <c r="C891" s="211"/>
      <c r="D891" s="211"/>
      <c r="E891" s="211"/>
      <c r="F891" s="211"/>
      <c r="G891" s="211"/>
      <c r="H891" s="211"/>
      <c r="I891" s="211"/>
      <c r="J891" s="211"/>
      <c r="K891" s="211"/>
      <c r="L891" s="211"/>
      <c r="M891" s="211"/>
      <c r="N891" s="211"/>
    </row>
    <row r="892" spans="1:14">
      <c r="A892" s="211"/>
      <c r="B892" s="211"/>
      <c r="C892" s="211"/>
      <c r="D892" s="211"/>
      <c r="E892" s="211"/>
      <c r="F892" s="211"/>
      <c r="G892" s="211"/>
      <c r="H892" s="211"/>
      <c r="I892" s="211"/>
      <c r="J892" s="211"/>
      <c r="K892" s="211"/>
      <c r="L892" s="211"/>
      <c r="M892" s="211"/>
      <c r="N892" s="211"/>
    </row>
    <row r="893" spans="1:14">
      <c r="A893" s="211"/>
      <c r="B893" s="211"/>
      <c r="C893" s="211"/>
      <c r="D893" s="211"/>
      <c r="E893" s="211"/>
      <c r="F893" s="211"/>
      <c r="G893" s="211"/>
      <c r="H893" s="211"/>
      <c r="I893" s="211"/>
      <c r="J893" s="211"/>
      <c r="K893" s="211"/>
      <c r="L893" s="211"/>
      <c r="M893" s="211"/>
      <c r="N893" s="211"/>
    </row>
    <row r="894" spans="1:14">
      <c r="A894" s="211"/>
      <c r="B894" s="211"/>
      <c r="C894" s="211"/>
      <c r="D894" s="211"/>
      <c r="E894" s="211"/>
      <c r="F894" s="211"/>
      <c r="G894" s="211"/>
      <c r="H894" s="211"/>
      <c r="I894" s="211"/>
      <c r="J894" s="211"/>
      <c r="K894" s="211"/>
      <c r="L894" s="211"/>
      <c r="M894" s="211"/>
      <c r="N894" s="211"/>
    </row>
    <row r="895" spans="1:14">
      <c r="A895" s="211"/>
      <c r="B895" s="211"/>
      <c r="C895" s="211"/>
      <c r="D895" s="211"/>
      <c r="E895" s="211"/>
      <c r="F895" s="211"/>
      <c r="G895" s="211"/>
      <c r="H895" s="211"/>
      <c r="I895" s="211"/>
      <c r="J895" s="211"/>
      <c r="K895" s="211"/>
      <c r="L895" s="211"/>
      <c r="M895" s="211"/>
      <c r="N895" s="211"/>
    </row>
    <row r="896" spans="1:14">
      <c r="A896" s="211"/>
      <c r="B896" s="211"/>
      <c r="C896" s="211"/>
      <c r="D896" s="211"/>
      <c r="E896" s="211"/>
      <c r="F896" s="211"/>
      <c r="G896" s="211"/>
      <c r="H896" s="211"/>
      <c r="I896" s="211"/>
      <c r="J896" s="211"/>
      <c r="K896" s="211"/>
      <c r="L896" s="211"/>
      <c r="M896" s="211"/>
      <c r="N896" s="211"/>
    </row>
    <row r="897" spans="1:14">
      <c r="A897" s="211"/>
      <c r="B897" s="211"/>
      <c r="C897" s="211"/>
      <c r="D897" s="211"/>
      <c r="E897" s="211"/>
      <c r="F897" s="211"/>
      <c r="G897" s="211"/>
      <c r="H897" s="211"/>
      <c r="I897" s="211"/>
      <c r="J897" s="211"/>
      <c r="K897" s="211"/>
      <c r="L897" s="211"/>
      <c r="M897" s="211"/>
      <c r="N897" s="211"/>
    </row>
    <row r="898" spans="1:14">
      <c r="A898" s="211"/>
      <c r="B898" s="211"/>
      <c r="C898" s="211"/>
      <c r="D898" s="211"/>
      <c r="E898" s="211"/>
      <c r="F898" s="211"/>
      <c r="G898" s="211"/>
      <c r="H898" s="211"/>
      <c r="I898" s="211"/>
      <c r="J898" s="211"/>
      <c r="K898" s="211"/>
      <c r="L898" s="211"/>
      <c r="M898" s="211"/>
      <c r="N898" s="211"/>
    </row>
    <row r="899" spans="1:14">
      <c r="A899" s="211"/>
      <c r="B899" s="211"/>
      <c r="C899" s="211"/>
      <c r="D899" s="211"/>
      <c r="E899" s="211"/>
      <c r="F899" s="211"/>
      <c r="G899" s="211"/>
      <c r="H899" s="211"/>
      <c r="I899" s="211"/>
      <c r="J899" s="211"/>
      <c r="K899" s="211"/>
      <c r="L899" s="211"/>
      <c r="M899" s="211"/>
      <c r="N899" s="211"/>
    </row>
    <row r="900" spans="1:14">
      <c r="A900" s="211"/>
      <c r="B900" s="211"/>
      <c r="C900" s="211"/>
      <c r="D900" s="211"/>
      <c r="E900" s="211"/>
      <c r="F900" s="211"/>
      <c r="G900" s="211"/>
      <c r="H900" s="211"/>
      <c r="I900" s="211"/>
      <c r="J900" s="211"/>
      <c r="K900" s="211"/>
      <c r="L900" s="211"/>
      <c r="M900" s="211"/>
      <c r="N900" s="211"/>
    </row>
    <row r="901" spans="1:14">
      <c r="A901" s="211"/>
      <c r="B901" s="211"/>
      <c r="C901" s="211"/>
      <c r="D901" s="211"/>
      <c r="E901" s="211"/>
      <c r="F901" s="211"/>
      <c r="G901" s="211"/>
      <c r="H901" s="211"/>
      <c r="I901" s="211"/>
      <c r="J901" s="211"/>
      <c r="K901" s="211"/>
      <c r="L901" s="211"/>
      <c r="M901" s="211"/>
      <c r="N901" s="211"/>
    </row>
    <row r="902" spans="1:14">
      <c r="A902" s="211"/>
      <c r="B902" s="211"/>
      <c r="C902" s="211"/>
      <c r="D902" s="211"/>
      <c r="E902" s="211"/>
      <c r="F902" s="211"/>
      <c r="G902" s="211"/>
      <c r="H902" s="211"/>
      <c r="I902" s="211"/>
      <c r="J902" s="211"/>
      <c r="K902" s="211"/>
      <c r="L902" s="211"/>
      <c r="M902" s="211"/>
      <c r="N902" s="211"/>
    </row>
    <row r="903" spans="1:14">
      <c r="A903" s="211"/>
      <c r="B903" s="211"/>
      <c r="C903" s="211"/>
      <c r="D903" s="211"/>
      <c r="E903" s="211"/>
      <c r="F903" s="211"/>
      <c r="G903" s="211"/>
      <c r="H903" s="211"/>
      <c r="I903" s="211"/>
      <c r="J903" s="211"/>
      <c r="K903" s="211"/>
      <c r="L903" s="211"/>
      <c r="M903" s="211"/>
      <c r="N903" s="211"/>
    </row>
    <row r="904" spans="1:14">
      <c r="A904" s="211"/>
      <c r="B904" s="211"/>
      <c r="C904" s="211"/>
      <c r="D904" s="211"/>
      <c r="E904" s="211"/>
      <c r="F904" s="211"/>
      <c r="G904" s="211"/>
      <c r="H904" s="211"/>
      <c r="I904" s="211"/>
      <c r="J904" s="211"/>
      <c r="K904" s="211"/>
      <c r="L904" s="211"/>
      <c r="M904" s="211"/>
      <c r="N904" s="211"/>
    </row>
    <row r="905" spans="1:14">
      <c r="A905" s="211"/>
      <c r="B905" s="211"/>
      <c r="C905" s="211"/>
      <c r="D905" s="211"/>
      <c r="E905" s="211"/>
      <c r="F905" s="211"/>
      <c r="G905" s="211"/>
      <c r="H905" s="211"/>
      <c r="I905" s="211"/>
      <c r="J905" s="211"/>
      <c r="K905" s="211"/>
      <c r="L905" s="211"/>
      <c r="M905" s="211"/>
      <c r="N905" s="211"/>
    </row>
    <row r="906" spans="1:14">
      <c r="A906" s="211"/>
      <c r="B906" s="211"/>
      <c r="C906" s="211"/>
      <c r="D906" s="211"/>
      <c r="E906" s="211"/>
      <c r="F906" s="211"/>
      <c r="G906" s="211"/>
      <c r="H906" s="211"/>
      <c r="I906" s="211"/>
      <c r="J906" s="211"/>
      <c r="K906" s="211"/>
      <c r="L906" s="211"/>
      <c r="M906" s="211"/>
      <c r="N906" s="211"/>
    </row>
    <row r="907" spans="1:14">
      <c r="A907" s="211"/>
      <c r="B907" s="211"/>
      <c r="C907" s="211"/>
      <c r="D907" s="211"/>
      <c r="E907" s="211"/>
      <c r="F907" s="211"/>
      <c r="G907" s="211"/>
      <c r="H907" s="211"/>
      <c r="I907" s="211"/>
      <c r="J907" s="211"/>
      <c r="K907" s="211"/>
      <c r="L907" s="211"/>
      <c r="M907" s="211"/>
      <c r="N907" s="211"/>
    </row>
    <row r="908" spans="1:14">
      <c r="A908" s="211"/>
      <c r="B908" s="211"/>
      <c r="C908" s="211"/>
      <c r="D908" s="211"/>
      <c r="E908" s="211"/>
      <c r="F908" s="211"/>
      <c r="G908" s="211"/>
      <c r="H908" s="211"/>
      <c r="I908" s="211"/>
      <c r="J908" s="211"/>
      <c r="K908" s="211"/>
      <c r="L908" s="211"/>
      <c r="M908" s="211"/>
      <c r="N908" s="211"/>
    </row>
    <row r="909" spans="1:14">
      <c r="A909" s="211"/>
      <c r="B909" s="211"/>
      <c r="C909" s="211"/>
      <c r="D909" s="211"/>
      <c r="E909" s="211"/>
      <c r="F909" s="211"/>
      <c r="G909" s="211"/>
      <c r="H909" s="211"/>
      <c r="I909" s="211"/>
      <c r="J909" s="211"/>
      <c r="K909" s="211"/>
      <c r="L909" s="211"/>
      <c r="M909" s="211"/>
      <c r="N909" s="211"/>
    </row>
    <row r="910" spans="1:14">
      <c r="A910" s="211"/>
      <c r="B910" s="211"/>
      <c r="C910" s="211"/>
      <c r="D910" s="211"/>
      <c r="E910" s="211"/>
      <c r="F910" s="211"/>
      <c r="G910" s="211"/>
      <c r="H910" s="211"/>
      <c r="I910" s="211"/>
      <c r="J910" s="211"/>
      <c r="K910" s="211"/>
      <c r="L910" s="211"/>
      <c r="M910" s="211"/>
      <c r="N910" s="211"/>
    </row>
    <row r="911" spans="1:14">
      <c r="A911" s="211"/>
      <c r="B911" s="211"/>
      <c r="C911" s="211"/>
      <c r="D911" s="211"/>
      <c r="E911" s="211"/>
      <c r="F911" s="211"/>
      <c r="G911" s="211"/>
      <c r="H911" s="211"/>
      <c r="I911" s="211"/>
      <c r="J911" s="211"/>
      <c r="K911" s="211"/>
      <c r="L911" s="211"/>
      <c r="M911" s="211"/>
      <c r="N911" s="211"/>
    </row>
    <row r="912" spans="1:14">
      <c r="A912" s="211"/>
      <c r="B912" s="211"/>
      <c r="C912" s="211"/>
      <c r="D912" s="211"/>
      <c r="E912" s="211"/>
      <c r="F912" s="211"/>
      <c r="G912" s="211"/>
      <c r="H912" s="211"/>
      <c r="I912" s="211"/>
      <c r="J912" s="211"/>
      <c r="K912" s="211"/>
      <c r="L912" s="211"/>
      <c r="M912" s="211"/>
      <c r="N912" s="211"/>
    </row>
    <row r="913" spans="1:14">
      <c r="A913" s="211"/>
      <c r="B913" s="211"/>
      <c r="C913" s="211"/>
      <c r="D913" s="211"/>
      <c r="E913" s="211"/>
      <c r="F913" s="211"/>
      <c r="G913" s="211"/>
      <c r="H913" s="211"/>
      <c r="I913" s="211"/>
      <c r="J913" s="211"/>
      <c r="K913" s="211"/>
      <c r="L913" s="211"/>
      <c r="M913" s="211"/>
      <c r="N913" s="211"/>
    </row>
    <row r="914" spans="1:14">
      <c r="A914" s="211"/>
      <c r="B914" s="211"/>
      <c r="C914" s="211"/>
      <c r="D914" s="211"/>
      <c r="E914" s="211"/>
      <c r="F914" s="211"/>
      <c r="G914" s="211"/>
      <c r="H914" s="211"/>
      <c r="I914" s="211"/>
      <c r="J914" s="211"/>
      <c r="K914" s="211"/>
      <c r="L914" s="211"/>
      <c r="M914" s="211"/>
      <c r="N914" s="211"/>
    </row>
    <row r="915" spans="1:14">
      <c r="A915" s="211"/>
      <c r="B915" s="211"/>
      <c r="C915" s="211"/>
      <c r="D915" s="211"/>
      <c r="E915" s="211"/>
      <c r="F915" s="211"/>
      <c r="G915" s="211"/>
      <c r="H915" s="211"/>
      <c r="I915" s="211"/>
      <c r="J915" s="211"/>
      <c r="K915" s="211"/>
      <c r="L915" s="211"/>
      <c r="M915" s="211"/>
      <c r="N915" s="211"/>
    </row>
    <row r="916" spans="1:14">
      <c r="A916" s="211"/>
      <c r="B916" s="211"/>
      <c r="C916" s="211"/>
      <c r="D916" s="211"/>
      <c r="E916" s="211"/>
      <c r="F916" s="211"/>
      <c r="G916" s="211"/>
      <c r="H916" s="211"/>
      <c r="I916" s="211"/>
      <c r="J916" s="211"/>
      <c r="K916" s="211"/>
      <c r="L916" s="211"/>
      <c r="M916" s="211"/>
      <c r="N916" s="211"/>
    </row>
    <row r="917" spans="1:14">
      <c r="A917" s="211"/>
      <c r="B917" s="211"/>
      <c r="C917" s="211"/>
      <c r="D917" s="211"/>
      <c r="E917" s="211"/>
      <c r="F917" s="211"/>
      <c r="G917" s="211"/>
      <c r="H917" s="211"/>
      <c r="I917" s="211"/>
      <c r="J917" s="211"/>
      <c r="K917" s="211"/>
      <c r="L917" s="211"/>
      <c r="M917" s="211"/>
      <c r="N917" s="211"/>
    </row>
    <row r="918" spans="1:14">
      <c r="A918" s="211"/>
      <c r="B918" s="211"/>
      <c r="C918" s="211"/>
      <c r="D918" s="211"/>
      <c r="E918" s="211"/>
      <c r="F918" s="211"/>
      <c r="G918" s="211"/>
      <c r="H918" s="211"/>
      <c r="I918" s="211"/>
      <c r="J918" s="211"/>
      <c r="K918" s="211"/>
      <c r="L918" s="211"/>
      <c r="M918" s="211"/>
      <c r="N918" s="211"/>
    </row>
    <row r="919" spans="1:14">
      <c r="A919" s="211"/>
      <c r="B919" s="211"/>
      <c r="C919" s="211"/>
      <c r="D919" s="211"/>
      <c r="E919" s="211"/>
      <c r="F919" s="211"/>
      <c r="G919" s="211"/>
      <c r="H919" s="211"/>
      <c r="I919" s="211"/>
      <c r="J919" s="211"/>
      <c r="K919" s="211"/>
      <c r="L919" s="211"/>
      <c r="M919" s="211"/>
      <c r="N919" s="211"/>
    </row>
    <row r="920" spans="1:14">
      <c r="A920" s="211"/>
      <c r="B920" s="211"/>
      <c r="C920" s="211"/>
      <c r="D920" s="211"/>
      <c r="E920" s="211"/>
      <c r="F920" s="211"/>
      <c r="G920" s="211"/>
      <c r="H920" s="211"/>
      <c r="I920" s="211"/>
      <c r="J920" s="211"/>
      <c r="K920" s="211"/>
      <c r="L920" s="211"/>
      <c r="M920" s="211"/>
      <c r="N920" s="211"/>
    </row>
    <row r="921" spans="1:14">
      <c r="A921" s="211"/>
      <c r="B921" s="211"/>
      <c r="C921" s="211"/>
      <c r="D921" s="211"/>
      <c r="E921" s="211"/>
      <c r="F921" s="211"/>
      <c r="G921" s="211"/>
      <c r="H921" s="211"/>
      <c r="I921" s="211"/>
      <c r="J921" s="211"/>
      <c r="K921" s="211"/>
      <c r="L921" s="211"/>
      <c r="M921" s="211"/>
      <c r="N921" s="211"/>
    </row>
    <row r="922" spans="1:14">
      <c r="A922" s="211"/>
      <c r="B922" s="211"/>
      <c r="C922" s="211"/>
      <c r="D922" s="211"/>
      <c r="E922" s="211"/>
      <c r="F922" s="211"/>
      <c r="G922" s="211"/>
      <c r="H922" s="211"/>
      <c r="I922" s="211"/>
      <c r="J922" s="211"/>
      <c r="K922" s="211"/>
      <c r="L922" s="211"/>
      <c r="M922" s="211"/>
      <c r="N922" s="211"/>
    </row>
    <row r="923" spans="1:14">
      <c r="A923" s="211"/>
      <c r="B923" s="211"/>
      <c r="C923" s="211"/>
      <c r="D923" s="211"/>
      <c r="E923" s="211"/>
      <c r="F923" s="211"/>
      <c r="G923" s="211"/>
      <c r="H923" s="211"/>
      <c r="I923" s="211"/>
      <c r="J923" s="211"/>
      <c r="K923" s="211"/>
      <c r="L923" s="211"/>
      <c r="M923" s="211"/>
      <c r="N923" s="211"/>
    </row>
    <row r="924" spans="1:14">
      <c r="A924" s="211"/>
      <c r="B924" s="211"/>
      <c r="C924" s="211"/>
      <c r="D924" s="211"/>
      <c r="E924" s="211"/>
      <c r="F924" s="211"/>
      <c r="G924" s="211"/>
      <c r="H924" s="211"/>
      <c r="I924" s="211"/>
      <c r="J924" s="211"/>
      <c r="K924" s="211"/>
      <c r="L924" s="211"/>
      <c r="M924" s="211"/>
      <c r="N924" s="211"/>
    </row>
    <row r="925" spans="1:14">
      <c r="A925" s="211"/>
      <c r="B925" s="211"/>
      <c r="C925" s="211"/>
      <c r="D925" s="211"/>
      <c r="E925" s="211"/>
      <c r="F925" s="211"/>
      <c r="G925" s="211"/>
      <c r="H925" s="211"/>
      <c r="I925" s="211"/>
      <c r="J925" s="211"/>
      <c r="K925" s="211"/>
      <c r="L925" s="211"/>
      <c r="M925" s="211"/>
      <c r="N925" s="211"/>
    </row>
    <row r="926" spans="1:14">
      <c r="A926" s="211"/>
      <c r="B926" s="211"/>
      <c r="C926" s="211"/>
      <c r="D926" s="211"/>
      <c r="E926" s="211"/>
      <c r="F926" s="211"/>
      <c r="G926" s="211"/>
      <c r="H926" s="211"/>
      <c r="I926" s="211"/>
      <c r="J926" s="211"/>
      <c r="K926" s="211"/>
      <c r="L926" s="211"/>
      <c r="M926" s="211"/>
      <c r="N926" s="211"/>
    </row>
    <row r="927" spans="1:14">
      <c r="A927" s="211"/>
      <c r="B927" s="211"/>
      <c r="C927" s="211"/>
      <c r="D927" s="211"/>
      <c r="E927" s="211"/>
      <c r="F927" s="211"/>
      <c r="G927" s="211"/>
      <c r="H927" s="211"/>
      <c r="I927" s="211"/>
      <c r="J927" s="211"/>
      <c r="K927" s="211"/>
      <c r="L927" s="211"/>
      <c r="M927" s="211"/>
      <c r="N927" s="211"/>
    </row>
    <row r="928" spans="1:14">
      <c r="A928" s="211"/>
      <c r="B928" s="211"/>
      <c r="C928" s="211"/>
      <c r="D928" s="211"/>
      <c r="E928" s="211"/>
      <c r="F928" s="211"/>
      <c r="G928" s="211"/>
      <c r="H928" s="211"/>
      <c r="I928" s="211"/>
      <c r="J928" s="211"/>
      <c r="K928" s="211"/>
      <c r="L928" s="211"/>
      <c r="M928" s="211"/>
      <c r="N928" s="211"/>
    </row>
    <row r="929" spans="1:14">
      <c r="A929" s="211"/>
      <c r="B929" s="211"/>
      <c r="C929" s="211"/>
      <c r="D929" s="211"/>
      <c r="E929" s="211"/>
      <c r="F929" s="211"/>
      <c r="G929" s="211"/>
      <c r="H929" s="211"/>
      <c r="I929" s="211"/>
      <c r="J929" s="211"/>
      <c r="K929" s="211"/>
      <c r="L929" s="211"/>
      <c r="M929" s="211"/>
      <c r="N929" s="211"/>
    </row>
    <row r="930" spans="1:14">
      <c r="A930" s="211"/>
      <c r="B930" s="211"/>
      <c r="C930" s="211"/>
      <c r="D930" s="211"/>
      <c r="E930" s="211"/>
      <c r="F930" s="211"/>
      <c r="G930" s="211"/>
      <c r="H930" s="211"/>
      <c r="I930" s="211"/>
      <c r="J930" s="211"/>
      <c r="K930" s="211"/>
      <c r="L930" s="211"/>
      <c r="M930" s="211"/>
      <c r="N930" s="211"/>
    </row>
    <row r="931" spans="1:14">
      <c r="A931" s="211"/>
      <c r="B931" s="211"/>
      <c r="C931" s="211"/>
      <c r="D931" s="211"/>
      <c r="E931" s="211"/>
      <c r="F931" s="211"/>
      <c r="G931" s="211"/>
      <c r="H931" s="211"/>
      <c r="I931" s="211"/>
      <c r="J931" s="211"/>
      <c r="K931" s="211"/>
      <c r="L931" s="211"/>
      <c r="M931" s="211"/>
      <c r="N931" s="211"/>
    </row>
    <row r="932" spans="1:14">
      <c r="A932" s="211"/>
      <c r="B932" s="211"/>
      <c r="C932" s="211"/>
      <c r="D932" s="211"/>
      <c r="E932" s="211"/>
      <c r="F932" s="211"/>
      <c r="G932" s="211"/>
      <c r="H932" s="211"/>
      <c r="I932" s="211"/>
      <c r="J932" s="211"/>
      <c r="K932" s="211"/>
      <c r="L932" s="211"/>
      <c r="M932" s="211"/>
      <c r="N932" s="211"/>
    </row>
    <row r="933" spans="1:14">
      <c r="A933" s="211"/>
      <c r="B933" s="211"/>
      <c r="C933" s="211"/>
      <c r="D933" s="211"/>
      <c r="E933" s="211"/>
      <c r="F933" s="211"/>
      <c r="G933" s="211"/>
      <c r="H933" s="211"/>
      <c r="I933" s="211"/>
      <c r="J933" s="211"/>
      <c r="K933" s="211"/>
      <c r="L933" s="211"/>
      <c r="M933" s="211"/>
      <c r="N933" s="211"/>
    </row>
    <row r="934" spans="1:14">
      <c r="A934" s="211"/>
      <c r="B934" s="211"/>
      <c r="C934" s="211"/>
      <c r="D934" s="211"/>
      <c r="E934" s="211"/>
      <c r="F934" s="211"/>
      <c r="G934" s="211"/>
      <c r="H934" s="211"/>
      <c r="I934" s="211"/>
      <c r="J934" s="211"/>
      <c r="K934" s="211"/>
      <c r="L934" s="211"/>
      <c r="M934" s="211"/>
      <c r="N934" s="211"/>
    </row>
    <row r="935" spans="1:14">
      <c r="A935" s="211"/>
      <c r="B935" s="211"/>
      <c r="C935" s="211"/>
      <c r="D935" s="211"/>
      <c r="E935" s="211"/>
      <c r="F935" s="211"/>
      <c r="G935" s="211"/>
      <c r="H935" s="211"/>
      <c r="I935" s="211"/>
      <c r="J935" s="211"/>
      <c r="K935" s="211"/>
      <c r="L935" s="211"/>
      <c r="M935" s="211"/>
      <c r="N935" s="211"/>
    </row>
    <row r="936" spans="1:14">
      <c r="A936" s="211"/>
      <c r="B936" s="211"/>
      <c r="C936" s="211"/>
      <c r="D936" s="211"/>
      <c r="E936" s="211"/>
      <c r="F936" s="211"/>
      <c r="G936" s="211"/>
      <c r="H936" s="211"/>
      <c r="I936" s="211"/>
      <c r="J936" s="211"/>
      <c r="K936" s="211"/>
      <c r="L936" s="211"/>
      <c r="M936" s="211"/>
      <c r="N936" s="211"/>
    </row>
    <row r="937" spans="1:14">
      <c r="A937" s="211"/>
      <c r="B937" s="211"/>
      <c r="C937" s="211"/>
      <c r="D937" s="211"/>
      <c r="E937" s="211"/>
      <c r="F937" s="211"/>
      <c r="G937" s="211"/>
      <c r="H937" s="211"/>
      <c r="I937" s="211"/>
      <c r="J937" s="211"/>
      <c r="K937" s="211"/>
      <c r="L937" s="211"/>
      <c r="M937" s="211"/>
      <c r="N937" s="211"/>
    </row>
    <row r="938" spans="1:14">
      <c r="A938" s="211"/>
      <c r="B938" s="211"/>
      <c r="C938" s="211"/>
      <c r="D938" s="211"/>
      <c r="E938" s="211"/>
      <c r="F938" s="211"/>
      <c r="G938" s="211"/>
      <c r="H938" s="211"/>
      <c r="I938" s="211"/>
      <c r="J938" s="211"/>
      <c r="K938" s="211"/>
      <c r="L938" s="211"/>
      <c r="M938" s="211"/>
      <c r="N938" s="211"/>
    </row>
    <row r="939" spans="1:14">
      <c r="A939" s="211"/>
      <c r="B939" s="211"/>
      <c r="C939" s="211"/>
      <c r="D939" s="211"/>
      <c r="E939" s="211"/>
      <c r="F939" s="211"/>
      <c r="G939" s="211"/>
      <c r="H939" s="211"/>
      <c r="I939" s="211"/>
      <c r="J939" s="211"/>
      <c r="K939" s="211"/>
      <c r="L939" s="211"/>
      <c r="M939" s="211"/>
      <c r="N939" s="211"/>
    </row>
    <row r="940" spans="1:14">
      <c r="A940" s="211"/>
      <c r="B940" s="211"/>
      <c r="C940" s="211"/>
      <c r="D940" s="211"/>
      <c r="E940" s="211"/>
      <c r="F940" s="211"/>
      <c r="G940" s="211"/>
      <c r="H940" s="211"/>
      <c r="I940" s="211"/>
      <c r="J940" s="211"/>
      <c r="K940" s="211"/>
      <c r="L940" s="211"/>
      <c r="M940" s="211"/>
      <c r="N940" s="211"/>
    </row>
    <row r="941" spans="1:14">
      <c r="A941" s="211"/>
      <c r="B941" s="211"/>
      <c r="C941" s="211"/>
      <c r="D941" s="211"/>
      <c r="E941" s="211"/>
      <c r="F941" s="211"/>
      <c r="G941" s="211"/>
      <c r="H941" s="211"/>
      <c r="I941" s="211"/>
      <c r="J941" s="211"/>
      <c r="K941" s="211"/>
      <c r="L941" s="211"/>
      <c r="M941" s="211"/>
      <c r="N941" s="211"/>
    </row>
    <row r="942" spans="1:14">
      <c r="A942" s="211"/>
      <c r="B942" s="211"/>
      <c r="C942" s="211"/>
      <c r="D942" s="211"/>
      <c r="E942" s="211"/>
      <c r="F942" s="211"/>
      <c r="G942" s="211"/>
      <c r="H942" s="211"/>
      <c r="I942" s="211"/>
      <c r="J942" s="211"/>
      <c r="K942" s="211"/>
      <c r="L942" s="211"/>
      <c r="M942" s="211"/>
      <c r="N942" s="211"/>
    </row>
    <row r="943" spans="1:14">
      <c r="A943" s="211"/>
      <c r="B943" s="211"/>
      <c r="C943" s="211"/>
      <c r="D943" s="211"/>
      <c r="E943" s="211"/>
      <c r="F943" s="211"/>
      <c r="G943" s="211"/>
      <c r="H943" s="211"/>
      <c r="I943" s="211"/>
      <c r="J943" s="211"/>
      <c r="K943" s="211"/>
      <c r="L943" s="211"/>
      <c r="M943" s="211"/>
      <c r="N943" s="211"/>
    </row>
    <row r="944" spans="1:14">
      <c r="A944" s="211"/>
      <c r="B944" s="211"/>
      <c r="C944" s="211"/>
      <c r="D944" s="211"/>
      <c r="E944" s="211"/>
      <c r="F944" s="211"/>
      <c r="G944" s="211"/>
      <c r="H944" s="211"/>
      <c r="I944" s="211"/>
      <c r="J944" s="211"/>
      <c r="K944" s="211"/>
      <c r="L944" s="211"/>
      <c r="M944" s="211"/>
      <c r="N944" s="211"/>
    </row>
    <row r="945" spans="1:14">
      <c r="A945" s="211"/>
      <c r="B945" s="211"/>
      <c r="C945" s="211"/>
      <c r="D945" s="211"/>
      <c r="E945" s="211"/>
      <c r="F945" s="211"/>
      <c r="G945" s="211"/>
      <c r="H945" s="211"/>
      <c r="I945" s="211"/>
      <c r="J945" s="211"/>
      <c r="K945" s="211"/>
      <c r="L945" s="211"/>
      <c r="M945" s="211"/>
      <c r="N945" s="211"/>
    </row>
    <row r="946" spans="1:14">
      <c r="A946" s="211"/>
      <c r="B946" s="211"/>
      <c r="C946" s="211"/>
      <c r="D946" s="211"/>
      <c r="E946" s="211"/>
      <c r="F946" s="211"/>
      <c r="G946" s="211"/>
      <c r="H946" s="211"/>
      <c r="I946" s="211"/>
      <c r="J946" s="211"/>
      <c r="K946" s="211"/>
      <c r="L946" s="211"/>
      <c r="M946" s="211"/>
      <c r="N946" s="211"/>
    </row>
    <row r="947" spans="1:14">
      <c r="A947" s="211"/>
      <c r="B947" s="211"/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211"/>
    </row>
    <row r="948" spans="1:14">
      <c r="A948" s="211"/>
      <c r="B948" s="211"/>
      <c r="C948" s="211"/>
      <c r="D948" s="211"/>
      <c r="E948" s="211"/>
      <c r="F948" s="211"/>
      <c r="G948" s="211"/>
      <c r="H948" s="211"/>
      <c r="I948" s="211"/>
      <c r="J948" s="211"/>
      <c r="K948" s="211"/>
      <c r="L948" s="211"/>
      <c r="M948" s="211"/>
      <c r="N948" s="211"/>
    </row>
    <row r="949" spans="1:14">
      <c r="A949" s="211"/>
      <c r="B949" s="211"/>
      <c r="C949" s="211"/>
      <c r="D949" s="211"/>
      <c r="E949" s="211"/>
      <c r="F949" s="211"/>
      <c r="G949" s="211"/>
      <c r="H949" s="211"/>
      <c r="I949" s="211"/>
      <c r="J949" s="211"/>
      <c r="K949" s="211"/>
      <c r="L949" s="211"/>
      <c r="M949" s="211"/>
      <c r="N949" s="211"/>
    </row>
    <row r="950" spans="1:14">
      <c r="A950" s="211"/>
      <c r="B950" s="211"/>
      <c r="C950" s="211"/>
      <c r="D950" s="211"/>
      <c r="E950" s="211"/>
      <c r="F950" s="211"/>
      <c r="G950" s="211"/>
      <c r="H950" s="211"/>
      <c r="I950" s="211"/>
      <c r="J950" s="211"/>
      <c r="K950" s="211"/>
      <c r="L950" s="211"/>
      <c r="M950" s="211"/>
      <c r="N950" s="211"/>
    </row>
    <row r="951" spans="1:14">
      <c r="A951" s="211"/>
      <c r="B951" s="211"/>
      <c r="C951" s="211"/>
      <c r="D951" s="211"/>
      <c r="E951" s="211"/>
      <c r="F951" s="211"/>
      <c r="G951" s="211"/>
      <c r="H951" s="211"/>
      <c r="I951" s="211"/>
      <c r="J951" s="211"/>
      <c r="K951" s="211"/>
      <c r="L951" s="211"/>
      <c r="M951" s="211"/>
      <c r="N951" s="211"/>
    </row>
    <row r="952" spans="1:14">
      <c r="A952" s="211"/>
      <c r="B952" s="211"/>
      <c r="C952" s="211"/>
      <c r="D952" s="211"/>
      <c r="E952" s="211"/>
      <c r="F952" s="211"/>
      <c r="G952" s="211"/>
      <c r="H952" s="211"/>
      <c r="I952" s="211"/>
      <c r="J952" s="211"/>
      <c r="K952" s="211"/>
      <c r="L952" s="211"/>
      <c r="M952" s="211"/>
      <c r="N952" s="211"/>
    </row>
    <row r="953" spans="1:14">
      <c r="A953" s="211"/>
      <c r="B953" s="211"/>
      <c r="C953" s="211"/>
      <c r="D953" s="211"/>
      <c r="E953" s="211"/>
      <c r="F953" s="211"/>
      <c r="G953" s="211"/>
      <c r="H953" s="211"/>
      <c r="I953" s="211"/>
      <c r="J953" s="211"/>
      <c r="K953" s="211"/>
      <c r="L953" s="211"/>
      <c r="M953" s="211"/>
      <c r="N953" s="211"/>
    </row>
    <row r="954" spans="1:14">
      <c r="A954" s="211"/>
      <c r="B954" s="211"/>
      <c r="C954" s="211"/>
      <c r="D954" s="211"/>
      <c r="E954" s="211"/>
      <c r="F954" s="211"/>
      <c r="G954" s="211"/>
      <c r="H954" s="211"/>
      <c r="I954" s="211"/>
      <c r="J954" s="211"/>
      <c r="K954" s="211"/>
      <c r="L954" s="211"/>
      <c r="M954" s="211"/>
      <c r="N954" s="211"/>
    </row>
    <row r="955" spans="1:14">
      <c r="A955" s="211"/>
      <c r="B955" s="211"/>
      <c r="C955" s="211"/>
      <c r="D955" s="211"/>
      <c r="E955" s="211"/>
      <c r="F955" s="211"/>
      <c r="G955" s="211"/>
      <c r="H955" s="211"/>
      <c r="I955" s="211"/>
      <c r="J955" s="211"/>
      <c r="K955" s="211"/>
      <c r="L955" s="211"/>
      <c r="M955" s="211"/>
      <c r="N955" s="211"/>
    </row>
    <row r="956" spans="1:14">
      <c r="A956" s="211"/>
      <c r="B956" s="211"/>
      <c r="C956" s="211"/>
      <c r="D956" s="211"/>
      <c r="E956" s="211"/>
      <c r="F956" s="211"/>
      <c r="G956" s="211"/>
      <c r="H956" s="211"/>
      <c r="I956" s="211"/>
      <c r="J956" s="211"/>
      <c r="K956" s="211"/>
      <c r="L956" s="211"/>
      <c r="M956" s="211"/>
      <c r="N956" s="211"/>
    </row>
    <row r="957" spans="1:14">
      <c r="A957" s="211"/>
      <c r="B957" s="211"/>
      <c r="C957" s="211"/>
      <c r="D957" s="211"/>
      <c r="E957" s="211"/>
      <c r="F957" s="211"/>
      <c r="G957" s="211"/>
      <c r="H957" s="211"/>
      <c r="I957" s="211"/>
      <c r="J957" s="211"/>
      <c r="K957" s="211"/>
      <c r="L957" s="211"/>
      <c r="M957" s="211"/>
      <c r="N957" s="211"/>
    </row>
    <row r="958" spans="1:14">
      <c r="A958" s="211"/>
      <c r="B958" s="211"/>
      <c r="C958" s="211"/>
      <c r="D958" s="211"/>
      <c r="E958" s="211"/>
      <c r="F958" s="211"/>
      <c r="G958" s="211"/>
      <c r="H958" s="211"/>
      <c r="I958" s="211"/>
      <c r="J958" s="211"/>
      <c r="K958" s="211"/>
      <c r="L958" s="211"/>
      <c r="M958" s="211"/>
      <c r="N958" s="211"/>
    </row>
    <row r="959" spans="1:14">
      <c r="A959" s="211"/>
      <c r="B959" s="211"/>
      <c r="C959" s="211"/>
      <c r="D959" s="211"/>
      <c r="E959" s="211"/>
      <c r="F959" s="211"/>
      <c r="G959" s="211"/>
      <c r="H959" s="211"/>
      <c r="I959" s="211"/>
      <c r="J959" s="211"/>
      <c r="K959" s="211"/>
      <c r="L959" s="211"/>
      <c r="M959" s="211"/>
      <c r="N959" s="211"/>
    </row>
    <row r="960" spans="1:14">
      <c r="A960" s="211"/>
      <c r="B960" s="211"/>
      <c r="C960" s="211"/>
      <c r="D960" s="211"/>
      <c r="E960" s="211"/>
      <c r="F960" s="211"/>
      <c r="G960" s="211"/>
      <c r="H960" s="211"/>
      <c r="I960" s="211"/>
      <c r="J960" s="211"/>
      <c r="K960" s="211"/>
      <c r="L960" s="211"/>
      <c r="M960" s="211"/>
      <c r="N960" s="211"/>
    </row>
    <row r="961" spans="1:14">
      <c r="A961" s="211"/>
      <c r="B961" s="211"/>
      <c r="C961" s="211"/>
      <c r="D961" s="211"/>
      <c r="E961" s="211"/>
      <c r="F961" s="211"/>
      <c r="G961" s="211"/>
      <c r="H961" s="211"/>
      <c r="I961" s="211"/>
      <c r="J961" s="211"/>
      <c r="K961" s="211"/>
      <c r="L961" s="211"/>
      <c r="M961" s="211"/>
      <c r="N961" s="211"/>
    </row>
    <row r="962" spans="1:14">
      <c r="A962" s="211"/>
      <c r="B962" s="211"/>
      <c r="C962" s="211"/>
      <c r="D962" s="211"/>
      <c r="E962" s="211"/>
      <c r="F962" s="211"/>
      <c r="G962" s="211"/>
      <c r="H962" s="211"/>
      <c r="I962" s="211"/>
      <c r="J962" s="211"/>
      <c r="K962" s="211"/>
      <c r="L962" s="211"/>
      <c r="M962" s="211"/>
      <c r="N962" s="211"/>
    </row>
    <row r="963" spans="1:14">
      <c r="A963" s="211"/>
      <c r="B963" s="211"/>
      <c r="C963" s="211"/>
      <c r="D963" s="211"/>
      <c r="E963" s="211"/>
      <c r="F963" s="211"/>
      <c r="G963" s="211"/>
      <c r="H963" s="211"/>
      <c r="I963" s="211"/>
      <c r="J963" s="211"/>
      <c r="K963" s="211"/>
      <c r="L963" s="211"/>
      <c r="M963" s="211"/>
      <c r="N963" s="211"/>
    </row>
    <row r="964" spans="1:14">
      <c r="A964" s="211"/>
      <c r="B964" s="211"/>
      <c r="C964" s="211"/>
      <c r="D964" s="211"/>
      <c r="E964" s="211"/>
      <c r="F964" s="211"/>
      <c r="G964" s="211"/>
      <c r="H964" s="211"/>
      <c r="I964" s="211"/>
      <c r="J964" s="211"/>
      <c r="K964" s="211"/>
      <c r="L964" s="211"/>
      <c r="M964" s="211"/>
      <c r="N964" s="211"/>
    </row>
    <row r="965" spans="1:14">
      <c r="A965" s="211"/>
      <c r="B965" s="211"/>
      <c r="C965" s="211"/>
      <c r="D965" s="211"/>
      <c r="E965" s="211"/>
      <c r="F965" s="211"/>
      <c r="G965" s="211"/>
      <c r="H965" s="211"/>
      <c r="I965" s="211"/>
      <c r="J965" s="211"/>
      <c r="K965" s="211"/>
      <c r="L965" s="211"/>
      <c r="M965" s="211"/>
      <c r="N965" s="211"/>
    </row>
    <row r="966" spans="1:14">
      <c r="A966" s="211"/>
      <c r="B966" s="211"/>
      <c r="C966" s="211"/>
      <c r="D966" s="211"/>
      <c r="E966" s="211"/>
      <c r="F966" s="211"/>
      <c r="G966" s="211"/>
      <c r="H966" s="211"/>
      <c r="I966" s="211"/>
      <c r="J966" s="211"/>
      <c r="K966" s="211"/>
      <c r="L966" s="211"/>
      <c r="M966" s="211"/>
      <c r="N966" s="211"/>
    </row>
    <row r="967" spans="1:14">
      <c r="A967" s="211"/>
      <c r="B967" s="211"/>
      <c r="C967" s="211"/>
      <c r="D967" s="211"/>
      <c r="E967" s="211"/>
      <c r="F967" s="211"/>
      <c r="G967" s="211"/>
      <c r="H967" s="211"/>
      <c r="I967" s="211"/>
      <c r="J967" s="211"/>
      <c r="K967" s="211"/>
      <c r="L967" s="211"/>
      <c r="M967" s="211"/>
      <c r="N967" s="211"/>
    </row>
    <row r="968" spans="1:14">
      <c r="A968" s="211"/>
      <c r="B968" s="211"/>
      <c r="C968" s="211"/>
      <c r="D968" s="211"/>
      <c r="E968" s="211"/>
      <c r="F968" s="211"/>
      <c r="G968" s="211"/>
      <c r="H968" s="211"/>
      <c r="I968" s="211"/>
      <c r="J968" s="211"/>
      <c r="K968" s="211"/>
      <c r="L968" s="211"/>
      <c r="M968" s="211"/>
      <c r="N968" s="211"/>
    </row>
    <row r="969" spans="1:14">
      <c r="A969" s="211"/>
      <c r="B969" s="211"/>
      <c r="C969" s="211"/>
      <c r="D969" s="211"/>
      <c r="E969" s="211"/>
      <c r="F969" s="211"/>
      <c r="G969" s="211"/>
      <c r="H969" s="211"/>
      <c r="I969" s="211"/>
      <c r="J969" s="211"/>
      <c r="K969" s="211"/>
      <c r="L969" s="211"/>
      <c r="M969" s="211"/>
      <c r="N969" s="211"/>
    </row>
    <row r="970" spans="1:14">
      <c r="A970" s="211"/>
      <c r="B970" s="211"/>
      <c r="C970" s="211"/>
      <c r="D970" s="211"/>
      <c r="E970" s="211"/>
      <c r="F970" s="211"/>
      <c r="G970" s="211"/>
      <c r="H970" s="211"/>
      <c r="I970" s="211"/>
      <c r="J970" s="211"/>
      <c r="K970" s="211"/>
      <c r="L970" s="211"/>
      <c r="M970" s="211"/>
      <c r="N970" s="211"/>
    </row>
    <row r="971" spans="1:14">
      <c r="A971" s="211"/>
      <c r="B971" s="211"/>
      <c r="C971" s="211"/>
      <c r="D971" s="211"/>
      <c r="E971" s="211"/>
      <c r="F971" s="211"/>
      <c r="G971" s="211"/>
      <c r="H971" s="211"/>
      <c r="I971" s="211"/>
      <c r="J971" s="211"/>
      <c r="K971" s="211"/>
      <c r="L971" s="211"/>
      <c r="M971" s="211"/>
      <c r="N971" s="211"/>
    </row>
    <row r="972" spans="1:14">
      <c r="A972" s="211"/>
      <c r="B972" s="211"/>
      <c r="C972" s="211"/>
      <c r="D972" s="211"/>
      <c r="E972" s="211"/>
      <c r="F972" s="211"/>
      <c r="G972" s="211"/>
      <c r="H972" s="211"/>
      <c r="I972" s="211"/>
      <c r="J972" s="211"/>
      <c r="K972" s="211"/>
      <c r="L972" s="211"/>
      <c r="M972" s="211"/>
      <c r="N972" s="211"/>
    </row>
    <row r="973" spans="1:14">
      <c r="A973" s="211"/>
      <c r="B973" s="211"/>
      <c r="C973" s="211"/>
      <c r="D973" s="211"/>
      <c r="E973" s="211"/>
      <c r="F973" s="211"/>
      <c r="G973" s="211"/>
      <c r="H973" s="211"/>
      <c r="I973" s="211"/>
      <c r="J973" s="211"/>
      <c r="K973" s="211"/>
      <c r="L973" s="211"/>
      <c r="M973" s="211"/>
      <c r="N973" s="211"/>
    </row>
    <row r="974" spans="1:14">
      <c r="A974" s="211"/>
      <c r="B974" s="211"/>
      <c r="C974" s="211"/>
      <c r="D974" s="211"/>
      <c r="E974" s="211"/>
      <c r="F974" s="211"/>
      <c r="G974" s="211"/>
      <c r="H974" s="211"/>
      <c r="I974" s="211"/>
      <c r="J974" s="211"/>
      <c r="K974" s="211"/>
      <c r="L974" s="211"/>
      <c r="M974" s="211"/>
      <c r="N974" s="211"/>
    </row>
    <row r="975" spans="1:14">
      <c r="A975" s="211"/>
      <c r="B975" s="211"/>
      <c r="C975" s="211"/>
      <c r="D975" s="211"/>
      <c r="E975" s="211"/>
      <c r="F975" s="211"/>
      <c r="G975" s="211"/>
      <c r="H975" s="211"/>
      <c r="I975" s="211"/>
      <c r="J975" s="211"/>
      <c r="K975" s="211"/>
      <c r="L975" s="211"/>
      <c r="M975" s="211"/>
      <c r="N975" s="211"/>
    </row>
    <row r="976" spans="1:14">
      <c r="A976" s="211"/>
      <c r="B976" s="211"/>
      <c r="C976" s="211"/>
      <c r="D976" s="211"/>
      <c r="E976" s="211"/>
      <c r="F976" s="211"/>
      <c r="G976" s="211"/>
      <c r="H976" s="211"/>
      <c r="I976" s="211"/>
      <c r="J976" s="211"/>
      <c r="K976" s="211"/>
      <c r="L976" s="211"/>
      <c r="M976" s="211"/>
      <c r="N976" s="211"/>
    </row>
    <row r="977" spans="1:14">
      <c r="A977" s="211"/>
      <c r="B977" s="211"/>
      <c r="C977" s="211"/>
      <c r="D977" s="211"/>
      <c r="E977" s="211"/>
      <c r="F977" s="211"/>
      <c r="G977" s="211"/>
      <c r="H977" s="211"/>
      <c r="I977" s="211"/>
      <c r="J977" s="211"/>
      <c r="K977" s="211"/>
      <c r="L977" s="211"/>
      <c r="M977" s="211"/>
      <c r="N977" s="211"/>
    </row>
    <row r="978" spans="1:14">
      <c r="A978" s="211"/>
      <c r="B978" s="211"/>
      <c r="C978" s="211"/>
      <c r="D978" s="211"/>
      <c r="E978" s="211"/>
      <c r="F978" s="211"/>
      <c r="G978" s="211"/>
      <c r="H978" s="211"/>
      <c r="I978" s="211"/>
      <c r="J978" s="211"/>
      <c r="K978" s="211"/>
      <c r="L978" s="211"/>
      <c r="M978" s="211"/>
      <c r="N978" s="211"/>
    </row>
    <row r="979" spans="1:14">
      <c r="A979" s="211"/>
      <c r="B979" s="211"/>
      <c r="C979" s="211"/>
      <c r="D979" s="211"/>
      <c r="E979" s="211"/>
      <c r="F979" s="211"/>
      <c r="G979" s="211"/>
      <c r="H979" s="211"/>
      <c r="I979" s="211"/>
      <c r="J979" s="211"/>
      <c r="K979" s="211"/>
      <c r="L979" s="211"/>
      <c r="M979" s="211"/>
      <c r="N979" s="211"/>
    </row>
    <row r="980" spans="1:14">
      <c r="A980" s="211"/>
      <c r="B980" s="211"/>
      <c r="C980" s="211"/>
      <c r="D980" s="211"/>
      <c r="E980" s="211"/>
      <c r="F980" s="211"/>
      <c r="G980" s="211"/>
      <c r="H980" s="211"/>
      <c r="I980" s="211"/>
      <c r="J980" s="211"/>
      <c r="K980" s="211"/>
      <c r="L980" s="211"/>
      <c r="M980" s="211"/>
      <c r="N980" s="211"/>
    </row>
    <row r="981" spans="1:14">
      <c r="A981" s="211"/>
      <c r="B981" s="211"/>
      <c r="C981" s="211"/>
      <c r="D981" s="211"/>
      <c r="E981" s="211"/>
      <c r="F981" s="211"/>
      <c r="G981" s="211"/>
      <c r="H981" s="211"/>
      <c r="I981" s="211"/>
      <c r="J981" s="211"/>
      <c r="K981" s="211"/>
      <c r="L981" s="211"/>
      <c r="M981" s="211"/>
      <c r="N981" s="211"/>
    </row>
    <row r="982" spans="1:14">
      <c r="A982" s="211"/>
      <c r="B982" s="211"/>
      <c r="C982" s="211"/>
      <c r="D982" s="211"/>
      <c r="E982" s="211"/>
      <c r="F982" s="211"/>
      <c r="G982" s="211"/>
      <c r="H982" s="211"/>
      <c r="I982" s="211"/>
      <c r="J982" s="211"/>
      <c r="K982" s="211"/>
      <c r="L982" s="211"/>
      <c r="M982" s="211"/>
      <c r="N982" s="211"/>
    </row>
    <row r="983" spans="1:14">
      <c r="A983" s="211"/>
      <c r="B983" s="211"/>
      <c r="C983" s="211"/>
      <c r="D983" s="211"/>
      <c r="E983" s="211"/>
      <c r="F983" s="211"/>
      <c r="G983" s="211"/>
      <c r="H983" s="211"/>
      <c r="I983" s="211"/>
      <c r="J983" s="211"/>
      <c r="K983" s="211"/>
      <c r="L983" s="211"/>
      <c r="M983" s="211"/>
      <c r="N983" s="211"/>
    </row>
    <row r="984" spans="1:14">
      <c r="A984" s="211"/>
      <c r="B984" s="211"/>
      <c r="C984" s="211"/>
      <c r="D984" s="211"/>
      <c r="E984" s="211"/>
      <c r="F984" s="211"/>
      <c r="G984" s="211"/>
      <c r="H984" s="211"/>
      <c r="I984" s="211"/>
      <c r="J984" s="211"/>
      <c r="K984" s="211"/>
      <c r="L984" s="211"/>
      <c r="M984" s="211"/>
      <c r="N984" s="211"/>
    </row>
    <row r="985" spans="1:14">
      <c r="A985" s="211"/>
      <c r="B985" s="211"/>
      <c r="C985" s="211"/>
      <c r="D985" s="211"/>
      <c r="E985" s="211"/>
      <c r="F985" s="211"/>
      <c r="G985" s="211"/>
      <c r="H985" s="211"/>
      <c r="I985" s="211"/>
      <c r="J985" s="211"/>
      <c r="K985" s="211"/>
      <c r="L985" s="211"/>
      <c r="M985" s="211"/>
      <c r="N985" s="211"/>
    </row>
    <row r="986" spans="1:14">
      <c r="A986" s="211"/>
      <c r="B986" s="211"/>
      <c r="C986" s="211"/>
      <c r="D986" s="211"/>
      <c r="E986" s="211"/>
      <c r="F986" s="211"/>
      <c r="G986" s="211"/>
      <c r="H986" s="211"/>
      <c r="I986" s="211"/>
      <c r="J986" s="211"/>
      <c r="K986" s="211"/>
      <c r="L986" s="211"/>
      <c r="M986" s="211"/>
      <c r="N986" s="211"/>
    </row>
    <row r="987" spans="1:14">
      <c r="A987" s="211"/>
      <c r="B987" s="211"/>
      <c r="C987" s="211"/>
      <c r="D987" s="211"/>
      <c r="E987" s="211"/>
      <c r="F987" s="211"/>
      <c r="G987" s="211"/>
      <c r="H987" s="211"/>
      <c r="I987" s="211"/>
      <c r="J987" s="211"/>
      <c r="K987" s="211"/>
      <c r="L987" s="211"/>
      <c r="M987" s="211"/>
      <c r="N987" s="211"/>
    </row>
    <row r="988" spans="1:14">
      <c r="A988" s="211"/>
      <c r="B988" s="211"/>
      <c r="C988" s="211"/>
      <c r="D988" s="211"/>
      <c r="E988" s="211"/>
      <c r="F988" s="211"/>
      <c r="G988" s="211"/>
      <c r="H988" s="211"/>
      <c r="I988" s="211"/>
      <c r="J988" s="211"/>
      <c r="K988" s="211"/>
      <c r="L988" s="211"/>
      <c r="M988" s="211"/>
      <c r="N988" s="211"/>
    </row>
    <row r="989" spans="1:14">
      <c r="A989" s="211"/>
      <c r="B989" s="211"/>
      <c r="C989" s="211"/>
      <c r="D989" s="211"/>
      <c r="E989" s="211"/>
      <c r="F989" s="211"/>
      <c r="G989" s="211"/>
      <c r="H989" s="211"/>
      <c r="I989" s="211"/>
      <c r="J989" s="211"/>
      <c r="K989" s="211"/>
      <c r="L989" s="211"/>
      <c r="M989" s="211"/>
      <c r="N989" s="211"/>
    </row>
    <row r="990" spans="1:14">
      <c r="A990" s="211"/>
      <c r="B990" s="211"/>
      <c r="C990" s="211"/>
      <c r="D990" s="211"/>
      <c r="E990" s="211"/>
      <c r="F990" s="211"/>
      <c r="G990" s="211"/>
      <c r="H990" s="211"/>
      <c r="I990" s="211"/>
      <c r="J990" s="211"/>
      <c r="K990" s="211"/>
      <c r="L990" s="211"/>
      <c r="M990" s="211"/>
      <c r="N990" s="211"/>
    </row>
    <row r="991" spans="1:14">
      <c r="A991" s="211"/>
      <c r="B991" s="211"/>
      <c r="C991" s="211"/>
      <c r="D991" s="211"/>
      <c r="E991" s="211"/>
      <c r="F991" s="211"/>
      <c r="G991" s="211"/>
      <c r="H991" s="211"/>
      <c r="I991" s="211"/>
      <c r="J991" s="211"/>
      <c r="K991" s="211"/>
      <c r="L991" s="211"/>
      <c r="M991" s="211"/>
      <c r="N991" s="211"/>
    </row>
    <row r="992" spans="1:14">
      <c r="A992" s="211"/>
      <c r="B992" s="211"/>
      <c r="C992" s="211"/>
      <c r="D992" s="211"/>
      <c r="E992" s="211"/>
      <c r="F992" s="211"/>
      <c r="G992" s="211"/>
      <c r="H992" s="211"/>
      <c r="I992" s="211"/>
      <c r="J992" s="211"/>
      <c r="K992" s="211"/>
      <c r="L992" s="211"/>
      <c r="M992" s="211"/>
      <c r="N992" s="211"/>
    </row>
    <row r="993" spans="1:14">
      <c r="A993" s="211"/>
      <c r="B993" s="211"/>
      <c r="C993" s="211"/>
      <c r="D993" s="211"/>
      <c r="E993" s="211"/>
      <c r="F993" s="211"/>
      <c r="G993" s="211"/>
      <c r="H993" s="211"/>
      <c r="I993" s="211"/>
      <c r="J993" s="211"/>
      <c r="K993" s="211"/>
      <c r="L993" s="211"/>
      <c r="M993" s="211"/>
      <c r="N993" s="211"/>
    </row>
    <row r="994" spans="1:14">
      <c r="A994" s="211"/>
      <c r="B994" s="211"/>
      <c r="C994" s="211"/>
      <c r="D994" s="211"/>
      <c r="E994" s="211"/>
      <c r="F994" s="211"/>
      <c r="G994" s="211"/>
      <c r="H994" s="211"/>
      <c r="I994" s="211"/>
      <c r="J994" s="211"/>
      <c r="K994" s="211"/>
      <c r="L994" s="211"/>
      <c r="M994" s="211"/>
      <c r="N994" s="211"/>
    </row>
    <row r="995" spans="1:14">
      <c r="A995" s="211"/>
      <c r="B995" s="211"/>
      <c r="C995" s="211"/>
      <c r="D995" s="211"/>
      <c r="E995" s="211"/>
      <c r="F995" s="211"/>
      <c r="G995" s="211"/>
      <c r="H995" s="211"/>
      <c r="I995" s="211"/>
      <c r="J995" s="211"/>
      <c r="K995" s="211"/>
      <c r="L995" s="211"/>
      <c r="M995" s="211"/>
      <c r="N995" s="211"/>
    </row>
    <row r="996" spans="1:14">
      <c r="A996" s="211"/>
      <c r="B996" s="211"/>
      <c r="C996" s="211"/>
      <c r="D996" s="211"/>
      <c r="E996" s="211"/>
      <c r="F996" s="211"/>
      <c r="G996" s="211"/>
      <c r="H996" s="211"/>
      <c r="I996" s="211"/>
      <c r="J996" s="211"/>
      <c r="K996" s="211"/>
      <c r="L996" s="211"/>
      <c r="M996" s="211"/>
      <c r="N996" s="211"/>
    </row>
    <row r="997" spans="1:14">
      <c r="A997" s="211"/>
      <c r="B997" s="211"/>
      <c r="C997" s="211"/>
      <c r="D997" s="211"/>
      <c r="E997" s="211"/>
      <c r="F997" s="211"/>
      <c r="G997" s="211"/>
      <c r="H997" s="211"/>
      <c r="I997" s="211"/>
      <c r="J997" s="211"/>
      <c r="K997" s="211"/>
      <c r="L997" s="211"/>
      <c r="M997" s="211"/>
      <c r="N997" s="211"/>
    </row>
    <row r="998" spans="1:14">
      <c r="A998" s="211"/>
      <c r="B998" s="211"/>
      <c r="C998" s="211"/>
      <c r="D998" s="211"/>
      <c r="E998" s="211"/>
      <c r="F998" s="211"/>
      <c r="G998" s="211"/>
      <c r="H998" s="211"/>
      <c r="I998" s="211"/>
      <c r="J998" s="211"/>
      <c r="K998" s="211"/>
      <c r="L998" s="211"/>
      <c r="M998" s="211"/>
      <c r="N998" s="211"/>
    </row>
    <row r="999" spans="1:14">
      <c r="A999" s="211"/>
      <c r="B999" s="211"/>
      <c r="C999" s="211"/>
      <c r="D999" s="211"/>
      <c r="E999" s="211"/>
      <c r="F999" s="211"/>
      <c r="G999" s="211"/>
      <c r="H999" s="211"/>
      <c r="I999" s="211"/>
      <c r="J999" s="211"/>
      <c r="K999" s="211"/>
      <c r="L999" s="211"/>
      <c r="M999" s="211"/>
      <c r="N999" s="211"/>
    </row>
    <row r="1000" spans="1:14">
      <c r="A1000" s="211"/>
      <c r="B1000" s="211"/>
      <c r="C1000" s="211"/>
      <c r="D1000" s="211"/>
      <c r="E1000" s="211"/>
      <c r="F1000" s="211"/>
      <c r="G1000" s="211"/>
      <c r="H1000" s="211"/>
      <c r="I1000" s="211"/>
      <c r="J1000" s="211"/>
      <c r="K1000" s="211"/>
      <c r="L1000" s="211"/>
      <c r="M1000" s="211"/>
      <c r="N1000" s="211"/>
    </row>
    <row r="1001" spans="1:14">
      <c r="A1001" s="211"/>
      <c r="B1001" s="211"/>
      <c r="C1001" s="211"/>
      <c r="D1001" s="211"/>
      <c r="E1001" s="211"/>
      <c r="F1001" s="211"/>
      <c r="G1001" s="211"/>
      <c r="H1001" s="211"/>
      <c r="I1001" s="211"/>
      <c r="J1001" s="211"/>
      <c r="K1001" s="211"/>
      <c r="L1001" s="211"/>
      <c r="M1001" s="211"/>
      <c r="N1001" s="211"/>
    </row>
    <row r="1002" spans="1:14">
      <c r="A1002" s="211"/>
      <c r="B1002" s="211"/>
      <c r="C1002" s="211"/>
      <c r="D1002" s="211"/>
      <c r="E1002" s="211"/>
      <c r="F1002" s="211"/>
      <c r="G1002" s="211"/>
      <c r="H1002" s="211"/>
      <c r="I1002" s="211"/>
      <c r="J1002" s="211"/>
      <c r="K1002" s="211"/>
      <c r="L1002" s="211"/>
      <c r="M1002" s="211"/>
      <c r="N1002" s="211"/>
    </row>
    <row r="1003" spans="1:14">
      <c r="A1003" s="211"/>
      <c r="B1003" s="211"/>
      <c r="C1003" s="211"/>
      <c r="D1003" s="211"/>
      <c r="E1003" s="211"/>
      <c r="F1003" s="211"/>
      <c r="G1003" s="211"/>
      <c r="H1003" s="211"/>
      <c r="I1003" s="211"/>
      <c r="J1003" s="211"/>
      <c r="K1003" s="211"/>
      <c r="L1003" s="211"/>
      <c r="M1003" s="211"/>
      <c r="N1003" s="211"/>
    </row>
    <row r="1004" spans="1:14">
      <c r="A1004" s="211"/>
      <c r="B1004" s="211"/>
      <c r="C1004" s="211"/>
      <c r="D1004" s="211"/>
      <c r="E1004" s="211"/>
      <c r="F1004" s="211"/>
      <c r="G1004" s="211"/>
      <c r="H1004" s="211"/>
      <c r="I1004" s="211"/>
      <c r="J1004" s="211"/>
      <c r="K1004" s="211"/>
      <c r="L1004" s="211"/>
      <c r="M1004" s="211"/>
      <c r="N1004" s="211"/>
    </row>
    <row r="1005" spans="1:14">
      <c r="A1005" s="211"/>
      <c r="B1005" s="211"/>
      <c r="C1005" s="211"/>
      <c r="D1005" s="211"/>
      <c r="E1005" s="211"/>
      <c r="F1005" s="211"/>
      <c r="G1005" s="211"/>
      <c r="H1005" s="211"/>
      <c r="I1005" s="211"/>
      <c r="J1005" s="211"/>
      <c r="K1005" s="211"/>
      <c r="L1005" s="211"/>
      <c r="M1005" s="211"/>
      <c r="N1005" s="211"/>
    </row>
    <row r="1006" spans="1:14">
      <c r="A1006" s="211"/>
      <c r="B1006" s="211"/>
      <c r="C1006" s="211"/>
      <c r="D1006" s="211"/>
      <c r="E1006" s="211"/>
      <c r="F1006" s="211"/>
      <c r="G1006" s="211"/>
      <c r="H1006" s="211"/>
      <c r="I1006" s="211"/>
      <c r="J1006" s="211"/>
      <c r="K1006" s="211"/>
      <c r="L1006" s="211"/>
      <c r="M1006" s="211"/>
      <c r="N1006" s="211"/>
    </row>
    <row r="1007" spans="1:14">
      <c r="A1007" s="211"/>
      <c r="B1007" s="211"/>
      <c r="C1007" s="211"/>
      <c r="D1007" s="211"/>
      <c r="E1007" s="211"/>
      <c r="F1007" s="211"/>
      <c r="G1007" s="211"/>
      <c r="H1007" s="211"/>
      <c r="I1007" s="211"/>
      <c r="J1007" s="211"/>
      <c r="K1007" s="211"/>
      <c r="L1007" s="211"/>
      <c r="M1007" s="211"/>
      <c r="N1007" s="211"/>
    </row>
    <row r="1008" spans="1:14">
      <c r="A1008" s="211"/>
      <c r="B1008" s="211"/>
      <c r="C1008" s="211"/>
      <c r="D1008" s="211"/>
      <c r="E1008" s="211"/>
      <c r="F1008" s="211"/>
      <c r="G1008" s="211"/>
      <c r="H1008" s="211"/>
      <c r="I1008" s="211"/>
      <c r="J1008" s="211"/>
      <c r="K1008" s="211"/>
      <c r="L1008" s="211"/>
      <c r="M1008" s="211"/>
      <c r="N1008" s="211"/>
    </row>
    <row r="1009" spans="1:14">
      <c r="A1009" s="211"/>
      <c r="B1009" s="211"/>
      <c r="C1009" s="211"/>
      <c r="D1009" s="211"/>
      <c r="E1009" s="211"/>
      <c r="F1009" s="211"/>
      <c r="G1009" s="211"/>
      <c r="H1009" s="211"/>
      <c r="I1009" s="211"/>
      <c r="J1009" s="211"/>
      <c r="K1009" s="211"/>
      <c r="L1009" s="211"/>
      <c r="M1009" s="211"/>
      <c r="N1009" s="211"/>
    </row>
    <row r="1010" spans="1:14">
      <c r="A1010" s="211"/>
      <c r="B1010" s="211"/>
      <c r="C1010" s="211"/>
      <c r="D1010" s="211"/>
      <c r="E1010" s="211"/>
      <c r="F1010" s="211"/>
      <c r="G1010" s="211"/>
      <c r="H1010" s="211"/>
      <c r="I1010" s="211"/>
      <c r="J1010" s="211"/>
      <c r="K1010" s="211"/>
      <c r="L1010" s="211"/>
      <c r="M1010" s="211"/>
      <c r="N1010" s="211"/>
    </row>
    <row r="1011" spans="1:14">
      <c r="A1011" s="211"/>
      <c r="B1011" s="211"/>
      <c r="C1011" s="211"/>
      <c r="D1011" s="211"/>
      <c r="E1011" s="211"/>
      <c r="F1011" s="211"/>
      <c r="G1011" s="211"/>
      <c r="H1011" s="211"/>
      <c r="I1011" s="211"/>
      <c r="J1011" s="211"/>
      <c r="K1011" s="211"/>
      <c r="L1011" s="211"/>
      <c r="M1011" s="211"/>
      <c r="N1011" s="211"/>
    </row>
    <row r="1012" spans="1:14">
      <c r="A1012" s="211"/>
      <c r="B1012" s="211"/>
      <c r="C1012" s="211"/>
      <c r="D1012" s="211"/>
      <c r="E1012" s="211"/>
      <c r="F1012" s="211"/>
      <c r="G1012" s="211"/>
      <c r="H1012" s="211"/>
      <c r="I1012" s="211"/>
      <c r="J1012" s="211"/>
      <c r="K1012" s="211"/>
      <c r="L1012" s="211"/>
      <c r="M1012" s="211"/>
      <c r="N1012" s="211"/>
    </row>
    <row r="1013" spans="1:14">
      <c r="A1013" s="211"/>
      <c r="B1013" s="211"/>
      <c r="C1013" s="211"/>
      <c r="D1013" s="211"/>
      <c r="E1013" s="211"/>
      <c r="F1013" s="211"/>
      <c r="G1013" s="211"/>
      <c r="H1013" s="211"/>
      <c r="I1013" s="211"/>
      <c r="J1013" s="211"/>
      <c r="K1013" s="211"/>
      <c r="L1013" s="211"/>
      <c r="M1013" s="211"/>
      <c r="N1013" s="211"/>
    </row>
    <row r="1014" spans="1:14">
      <c r="A1014" s="211"/>
      <c r="B1014" s="211"/>
      <c r="C1014" s="211"/>
      <c r="D1014" s="211"/>
      <c r="E1014" s="211"/>
      <c r="F1014" s="211"/>
      <c r="G1014" s="211"/>
      <c r="H1014" s="211"/>
      <c r="I1014" s="211"/>
      <c r="J1014" s="211"/>
      <c r="K1014" s="211"/>
      <c r="L1014" s="211"/>
      <c r="M1014" s="211"/>
      <c r="N1014" s="211"/>
    </row>
    <row r="1015" spans="1:14">
      <c r="A1015" s="211"/>
      <c r="B1015" s="211"/>
      <c r="C1015" s="211"/>
      <c r="D1015" s="211"/>
      <c r="E1015" s="211"/>
      <c r="F1015" s="211"/>
      <c r="G1015" s="211"/>
      <c r="H1015" s="211"/>
      <c r="I1015" s="211"/>
      <c r="J1015" s="211"/>
      <c r="K1015" s="211"/>
      <c r="L1015" s="211"/>
      <c r="M1015" s="211"/>
      <c r="N1015" s="211"/>
    </row>
    <row r="1016" spans="1:14">
      <c r="A1016" s="211"/>
      <c r="B1016" s="211"/>
      <c r="C1016" s="211"/>
      <c r="D1016" s="211"/>
      <c r="E1016" s="211"/>
      <c r="F1016" s="211"/>
      <c r="G1016" s="211"/>
      <c r="H1016" s="211"/>
      <c r="I1016" s="211"/>
      <c r="J1016" s="211"/>
      <c r="K1016" s="211"/>
      <c r="L1016" s="211"/>
      <c r="M1016" s="211"/>
      <c r="N1016" s="211"/>
    </row>
    <row r="1017" spans="1:14">
      <c r="A1017" s="211"/>
      <c r="B1017" s="211"/>
      <c r="C1017" s="211"/>
      <c r="D1017" s="211"/>
      <c r="E1017" s="211"/>
      <c r="F1017" s="211"/>
      <c r="G1017" s="211"/>
      <c r="H1017" s="211"/>
      <c r="I1017" s="211"/>
      <c r="J1017" s="211"/>
      <c r="K1017" s="211"/>
      <c r="L1017" s="211"/>
      <c r="M1017" s="211"/>
      <c r="N1017" s="211"/>
    </row>
    <row r="1018" spans="1:14">
      <c r="A1018" s="211"/>
      <c r="B1018" s="211"/>
      <c r="C1018" s="211"/>
      <c r="D1018" s="211"/>
      <c r="E1018" s="211"/>
      <c r="F1018" s="211"/>
      <c r="G1018" s="211"/>
      <c r="H1018" s="211"/>
      <c r="I1018" s="211"/>
      <c r="J1018" s="211"/>
      <c r="K1018" s="211"/>
      <c r="L1018" s="211"/>
      <c r="M1018" s="211"/>
      <c r="N1018" s="211"/>
    </row>
    <row r="1019" spans="1:14">
      <c r="A1019" s="211"/>
      <c r="B1019" s="211"/>
      <c r="C1019" s="211"/>
      <c r="D1019" s="211"/>
      <c r="E1019" s="211"/>
      <c r="F1019" s="211"/>
      <c r="G1019" s="211"/>
      <c r="H1019" s="211"/>
      <c r="I1019" s="211"/>
      <c r="J1019" s="211"/>
      <c r="K1019" s="211"/>
      <c r="L1019" s="211"/>
      <c r="M1019" s="211"/>
      <c r="N1019" s="211"/>
    </row>
    <row r="1020" spans="1:14">
      <c r="A1020" s="211"/>
      <c r="B1020" s="211"/>
      <c r="C1020" s="211"/>
      <c r="D1020" s="211"/>
      <c r="E1020" s="211"/>
      <c r="F1020" s="211"/>
      <c r="G1020" s="211"/>
      <c r="H1020" s="211"/>
      <c r="I1020" s="211"/>
      <c r="J1020" s="211"/>
      <c r="K1020" s="211"/>
      <c r="L1020" s="211"/>
      <c r="M1020" s="211"/>
      <c r="N1020" s="211"/>
    </row>
    <row r="1021" spans="1:14">
      <c r="A1021" s="211"/>
      <c r="B1021" s="211"/>
      <c r="C1021" s="211"/>
      <c r="D1021" s="211"/>
      <c r="E1021" s="211"/>
      <c r="F1021" s="211"/>
      <c r="G1021" s="211"/>
      <c r="H1021" s="211"/>
      <c r="I1021" s="211"/>
      <c r="J1021" s="211"/>
      <c r="K1021" s="211"/>
      <c r="L1021" s="211"/>
      <c r="M1021" s="211"/>
      <c r="N1021" s="211"/>
    </row>
    <row r="1022" spans="1:14">
      <c r="A1022" s="211"/>
      <c r="B1022" s="211"/>
      <c r="C1022" s="211"/>
      <c r="D1022" s="211"/>
      <c r="E1022" s="211"/>
      <c r="F1022" s="211"/>
      <c r="G1022" s="211"/>
      <c r="H1022" s="211"/>
      <c r="I1022" s="211"/>
      <c r="J1022" s="211"/>
      <c r="K1022" s="211"/>
      <c r="L1022" s="211"/>
      <c r="M1022" s="211"/>
      <c r="N1022" s="211"/>
    </row>
    <row r="1023" spans="1:14">
      <c r="A1023" s="211"/>
      <c r="B1023" s="211"/>
      <c r="C1023" s="211"/>
      <c r="D1023" s="211"/>
      <c r="E1023" s="211"/>
      <c r="F1023" s="211"/>
      <c r="G1023" s="211"/>
      <c r="H1023" s="211"/>
      <c r="I1023" s="211"/>
      <c r="J1023" s="211"/>
      <c r="K1023" s="211"/>
      <c r="L1023" s="211"/>
      <c r="M1023" s="211"/>
      <c r="N1023" s="211"/>
    </row>
    <row r="1024" spans="1:14">
      <c r="A1024" s="211"/>
      <c r="B1024" s="211"/>
      <c r="C1024" s="211"/>
      <c r="D1024" s="211"/>
      <c r="E1024" s="211"/>
      <c r="F1024" s="211"/>
      <c r="G1024" s="211"/>
      <c r="H1024" s="211"/>
      <c r="I1024" s="211"/>
      <c r="J1024" s="211"/>
      <c r="K1024" s="211"/>
      <c r="L1024" s="211"/>
      <c r="M1024" s="211"/>
      <c r="N1024" s="211"/>
    </row>
    <row r="1025" spans="1:14">
      <c r="A1025" s="211"/>
      <c r="B1025" s="211"/>
      <c r="C1025" s="211"/>
      <c r="D1025" s="211"/>
      <c r="E1025" s="211"/>
      <c r="F1025" s="211"/>
      <c r="G1025" s="211"/>
      <c r="H1025" s="211"/>
      <c r="I1025" s="211"/>
      <c r="J1025" s="211"/>
      <c r="K1025" s="211"/>
      <c r="L1025" s="211"/>
      <c r="M1025" s="211"/>
      <c r="N1025" s="211"/>
    </row>
    <row r="1026" spans="1:14">
      <c r="A1026" s="211"/>
      <c r="B1026" s="211"/>
      <c r="C1026" s="211"/>
      <c r="D1026" s="211"/>
      <c r="E1026" s="211"/>
      <c r="F1026" s="211"/>
      <c r="G1026" s="211"/>
      <c r="H1026" s="211"/>
      <c r="I1026" s="211"/>
      <c r="J1026" s="211"/>
      <c r="K1026" s="211"/>
      <c r="L1026" s="211"/>
      <c r="M1026" s="211"/>
      <c r="N1026" s="211"/>
    </row>
    <row r="1027" spans="1:14">
      <c r="A1027" s="211"/>
      <c r="B1027" s="211"/>
      <c r="C1027" s="211"/>
      <c r="D1027" s="211"/>
      <c r="E1027" s="211"/>
      <c r="F1027" s="211"/>
      <c r="G1027" s="211"/>
      <c r="H1027" s="211"/>
      <c r="I1027" s="211"/>
      <c r="J1027" s="211"/>
      <c r="K1027" s="211"/>
      <c r="L1027" s="211"/>
      <c r="M1027" s="211"/>
      <c r="N1027" s="211"/>
    </row>
    <row r="1028" spans="1:14">
      <c r="A1028" s="211"/>
      <c r="B1028" s="211"/>
      <c r="C1028" s="211"/>
      <c r="D1028" s="211"/>
      <c r="E1028" s="211"/>
      <c r="F1028" s="211"/>
      <c r="G1028" s="211"/>
      <c r="H1028" s="211"/>
      <c r="I1028" s="211"/>
      <c r="J1028" s="211"/>
      <c r="K1028" s="211"/>
      <c r="L1028" s="211"/>
      <c r="M1028" s="211"/>
      <c r="N1028" s="211"/>
    </row>
    <row r="1029" spans="1:14">
      <c r="A1029" s="211"/>
      <c r="B1029" s="211"/>
      <c r="C1029" s="211"/>
      <c r="D1029" s="211"/>
      <c r="E1029" s="211"/>
      <c r="F1029" s="211"/>
      <c r="G1029" s="211"/>
      <c r="H1029" s="211"/>
      <c r="I1029" s="211"/>
      <c r="J1029" s="211"/>
      <c r="K1029" s="211"/>
      <c r="L1029" s="211"/>
      <c r="M1029" s="211"/>
      <c r="N1029" s="211"/>
    </row>
    <row r="1030" spans="1:14">
      <c r="A1030" s="211"/>
      <c r="B1030" s="211"/>
      <c r="C1030" s="211"/>
      <c r="D1030" s="211"/>
      <c r="E1030" s="211"/>
      <c r="F1030" s="211"/>
      <c r="G1030" s="211"/>
      <c r="H1030" s="211"/>
      <c r="I1030" s="211"/>
      <c r="J1030" s="211"/>
      <c r="K1030" s="211"/>
      <c r="L1030" s="211"/>
      <c r="M1030" s="211"/>
      <c r="N1030" s="211"/>
    </row>
    <row r="1031" spans="1:14">
      <c r="A1031" s="211"/>
      <c r="B1031" s="211"/>
      <c r="C1031" s="211"/>
      <c r="D1031" s="211"/>
      <c r="E1031" s="211"/>
      <c r="F1031" s="211"/>
      <c r="G1031" s="211"/>
      <c r="H1031" s="211"/>
      <c r="I1031" s="211"/>
      <c r="J1031" s="211"/>
      <c r="K1031" s="211"/>
      <c r="L1031" s="211"/>
      <c r="M1031" s="211"/>
      <c r="N1031" s="211"/>
    </row>
    <row r="1032" spans="1:14">
      <c r="A1032" s="211"/>
      <c r="B1032" s="211"/>
      <c r="C1032" s="211"/>
      <c r="D1032" s="211"/>
      <c r="E1032" s="211"/>
      <c r="F1032" s="211"/>
      <c r="G1032" s="211"/>
      <c r="H1032" s="211"/>
      <c r="I1032" s="211"/>
      <c r="J1032" s="211"/>
      <c r="K1032" s="211"/>
      <c r="L1032" s="211"/>
      <c r="M1032" s="211"/>
      <c r="N1032" s="211"/>
    </row>
    <row r="1033" spans="1:14">
      <c r="A1033" s="211"/>
      <c r="B1033" s="211"/>
      <c r="C1033" s="211"/>
      <c r="D1033" s="211"/>
      <c r="E1033" s="211"/>
      <c r="F1033" s="211"/>
      <c r="G1033" s="211"/>
      <c r="H1033" s="211"/>
      <c r="I1033" s="211"/>
      <c r="J1033" s="211"/>
      <c r="K1033" s="211"/>
      <c r="L1033" s="211"/>
      <c r="M1033" s="211"/>
      <c r="N1033" s="211"/>
    </row>
    <row r="1034" spans="1:14">
      <c r="A1034" s="211"/>
      <c r="B1034" s="211"/>
      <c r="C1034" s="211"/>
      <c r="D1034" s="211"/>
      <c r="E1034" s="211"/>
      <c r="F1034" s="211"/>
      <c r="G1034" s="211"/>
      <c r="H1034" s="211"/>
      <c r="I1034" s="211"/>
      <c r="J1034" s="211"/>
      <c r="K1034" s="211"/>
      <c r="L1034" s="211"/>
      <c r="M1034" s="211"/>
      <c r="N1034" s="211"/>
    </row>
    <row r="1035" spans="1:14">
      <c r="A1035" s="211"/>
      <c r="B1035" s="211"/>
      <c r="C1035" s="211"/>
      <c r="D1035" s="211"/>
      <c r="E1035" s="211"/>
      <c r="F1035" s="211"/>
      <c r="G1035" s="211"/>
      <c r="H1035" s="211"/>
      <c r="I1035" s="211"/>
      <c r="J1035" s="211"/>
      <c r="K1035" s="211"/>
      <c r="L1035" s="211"/>
      <c r="M1035" s="211"/>
      <c r="N1035" s="211"/>
    </row>
    <row r="1036" spans="1:14">
      <c r="A1036" s="211"/>
      <c r="B1036" s="211"/>
      <c r="C1036" s="211"/>
      <c r="D1036" s="211"/>
      <c r="E1036" s="211"/>
      <c r="F1036" s="211"/>
      <c r="G1036" s="211"/>
      <c r="H1036" s="211"/>
      <c r="I1036" s="211"/>
      <c r="J1036" s="211"/>
      <c r="K1036" s="211"/>
      <c r="L1036" s="211"/>
      <c r="M1036" s="211"/>
      <c r="N1036" s="211"/>
    </row>
    <row r="1037" spans="1:14">
      <c r="A1037" s="211"/>
      <c r="B1037" s="211"/>
      <c r="C1037" s="211"/>
      <c r="D1037" s="211"/>
      <c r="E1037" s="211"/>
      <c r="F1037" s="211"/>
      <c r="G1037" s="211"/>
      <c r="H1037" s="211"/>
      <c r="I1037" s="211"/>
      <c r="J1037" s="211"/>
      <c r="K1037" s="211"/>
      <c r="L1037" s="211"/>
      <c r="M1037" s="211"/>
      <c r="N1037" s="211"/>
    </row>
    <row r="1038" spans="1:14">
      <c r="A1038" s="211"/>
      <c r="B1038" s="211"/>
      <c r="C1038" s="211"/>
      <c r="D1038" s="211"/>
      <c r="E1038" s="211"/>
      <c r="F1038" s="211"/>
      <c r="G1038" s="211"/>
      <c r="H1038" s="211"/>
      <c r="I1038" s="211"/>
      <c r="J1038" s="211"/>
      <c r="K1038" s="211"/>
      <c r="L1038" s="211"/>
      <c r="M1038" s="211"/>
      <c r="N1038" s="211"/>
    </row>
    <row r="1039" spans="1:14">
      <c r="A1039" s="211"/>
      <c r="B1039" s="211"/>
      <c r="C1039" s="211"/>
      <c r="D1039" s="211"/>
      <c r="E1039" s="211"/>
      <c r="F1039" s="211"/>
      <c r="G1039" s="211"/>
      <c r="H1039" s="211"/>
      <c r="I1039" s="211"/>
      <c r="J1039" s="211"/>
      <c r="K1039" s="211"/>
      <c r="L1039" s="211"/>
      <c r="M1039" s="211"/>
      <c r="N1039" s="211"/>
    </row>
    <row r="1040" spans="1:14">
      <c r="A1040" s="211"/>
      <c r="B1040" s="211"/>
      <c r="C1040" s="211"/>
      <c r="D1040" s="211"/>
      <c r="E1040" s="211"/>
      <c r="F1040" s="211"/>
      <c r="G1040" s="211"/>
      <c r="H1040" s="211"/>
      <c r="I1040" s="211"/>
      <c r="J1040" s="211"/>
      <c r="K1040" s="211"/>
      <c r="L1040" s="211"/>
      <c r="M1040" s="211"/>
      <c r="N1040" s="211"/>
    </row>
    <row r="1041" spans="1:14">
      <c r="A1041" s="211"/>
      <c r="B1041" s="211"/>
      <c r="C1041" s="211"/>
      <c r="D1041" s="211"/>
      <c r="E1041" s="211"/>
      <c r="F1041" s="211"/>
      <c r="G1041" s="211"/>
      <c r="H1041" s="211"/>
      <c r="I1041" s="211"/>
      <c r="J1041" s="211"/>
      <c r="K1041" s="211"/>
      <c r="L1041" s="211"/>
      <c r="M1041" s="211"/>
      <c r="N1041" s="211"/>
    </row>
    <row r="1042" spans="1:14">
      <c r="A1042" s="211"/>
      <c r="B1042" s="211"/>
      <c r="C1042" s="211"/>
      <c r="D1042" s="211"/>
      <c r="E1042" s="211"/>
      <c r="F1042" s="211"/>
      <c r="G1042" s="211"/>
      <c r="H1042" s="211"/>
      <c r="I1042" s="211"/>
      <c r="J1042" s="211"/>
      <c r="K1042" s="211"/>
      <c r="L1042" s="211"/>
      <c r="M1042" s="211"/>
      <c r="N1042" s="211"/>
    </row>
    <row r="1043" spans="1:14">
      <c r="A1043" s="211"/>
      <c r="B1043" s="211"/>
      <c r="C1043" s="211"/>
      <c r="D1043" s="211"/>
      <c r="E1043" s="211"/>
      <c r="F1043" s="211"/>
      <c r="G1043" s="211"/>
      <c r="H1043" s="211"/>
      <c r="I1043" s="211"/>
      <c r="J1043" s="211"/>
      <c r="K1043" s="211"/>
      <c r="L1043" s="211"/>
      <c r="M1043" s="211"/>
      <c r="N1043" s="211"/>
    </row>
    <row r="1044" spans="1:14">
      <c r="A1044" s="211"/>
      <c r="B1044" s="211"/>
      <c r="C1044" s="211"/>
      <c r="D1044" s="211"/>
      <c r="E1044" s="211"/>
      <c r="F1044" s="211"/>
      <c r="G1044" s="211"/>
      <c r="H1044" s="211"/>
      <c r="I1044" s="211"/>
      <c r="J1044" s="211"/>
      <c r="K1044" s="211"/>
      <c r="L1044" s="211"/>
      <c r="M1044" s="211"/>
      <c r="N1044" s="211"/>
    </row>
    <row r="1045" spans="1:14">
      <c r="A1045" s="211"/>
      <c r="B1045" s="211"/>
      <c r="C1045" s="211"/>
      <c r="D1045" s="211"/>
      <c r="E1045" s="211"/>
      <c r="F1045" s="211"/>
      <c r="G1045" s="211"/>
      <c r="H1045" s="211"/>
      <c r="I1045" s="211"/>
      <c r="J1045" s="211"/>
      <c r="K1045" s="211"/>
      <c r="L1045" s="211"/>
      <c r="M1045" s="211"/>
      <c r="N1045" s="211"/>
    </row>
    <row r="1046" spans="1:14">
      <c r="A1046" s="211"/>
      <c r="B1046" s="211"/>
      <c r="C1046" s="211"/>
      <c r="D1046" s="211"/>
      <c r="E1046" s="211"/>
      <c r="F1046" s="211"/>
      <c r="G1046" s="211"/>
      <c r="H1046" s="211"/>
      <c r="I1046" s="211"/>
      <c r="J1046" s="211"/>
      <c r="K1046" s="211"/>
      <c r="L1046" s="211"/>
      <c r="M1046" s="211"/>
      <c r="N1046" s="211"/>
    </row>
    <row r="1047" spans="1:14">
      <c r="A1047" s="211"/>
      <c r="B1047" s="211"/>
      <c r="C1047" s="211"/>
      <c r="D1047" s="211"/>
      <c r="E1047" s="211"/>
      <c r="F1047" s="211"/>
      <c r="G1047" s="211"/>
      <c r="H1047" s="211"/>
      <c r="I1047" s="211"/>
      <c r="J1047" s="211"/>
      <c r="K1047" s="211"/>
      <c r="L1047" s="211"/>
      <c r="M1047" s="211"/>
      <c r="N1047" s="211"/>
    </row>
    <row r="1048" spans="1:14">
      <c r="A1048" s="211"/>
      <c r="B1048" s="211"/>
      <c r="C1048" s="211"/>
      <c r="D1048" s="211"/>
      <c r="E1048" s="211"/>
      <c r="F1048" s="211"/>
      <c r="G1048" s="211"/>
      <c r="H1048" s="211"/>
      <c r="I1048" s="211"/>
      <c r="J1048" s="211"/>
      <c r="K1048" s="211"/>
      <c r="L1048" s="211"/>
      <c r="M1048" s="211"/>
      <c r="N1048" s="211"/>
    </row>
    <row r="1049" spans="1:14">
      <c r="A1049" s="211"/>
      <c r="B1049" s="211"/>
      <c r="C1049" s="211"/>
      <c r="D1049" s="211"/>
      <c r="E1049" s="211"/>
      <c r="F1049" s="211"/>
      <c r="G1049" s="211"/>
      <c r="H1049" s="211"/>
      <c r="I1049" s="211"/>
      <c r="J1049" s="211"/>
      <c r="K1049" s="211"/>
      <c r="L1049" s="211"/>
      <c r="M1049" s="211"/>
      <c r="N1049" s="211"/>
    </row>
    <row r="1050" spans="1:14">
      <c r="A1050" s="211"/>
      <c r="B1050" s="211"/>
      <c r="C1050" s="211"/>
      <c r="D1050" s="211"/>
      <c r="E1050" s="211"/>
      <c r="F1050" s="211"/>
      <c r="G1050" s="211"/>
      <c r="H1050" s="211"/>
      <c r="I1050" s="211"/>
      <c r="J1050" s="211"/>
      <c r="K1050" s="211"/>
      <c r="L1050" s="211"/>
      <c r="M1050" s="211"/>
      <c r="N1050" s="211"/>
    </row>
    <row r="1051" spans="1:14">
      <c r="A1051" s="211"/>
      <c r="B1051" s="211"/>
      <c r="C1051" s="211"/>
      <c r="D1051" s="211"/>
      <c r="E1051" s="211"/>
      <c r="F1051" s="211"/>
      <c r="G1051" s="211"/>
      <c r="H1051" s="211"/>
      <c r="I1051" s="211"/>
      <c r="J1051" s="211"/>
      <c r="K1051" s="211"/>
      <c r="L1051" s="211"/>
      <c r="M1051" s="211"/>
      <c r="N1051" s="211"/>
    </row>
    <row r="1052" spans="1:14">
      <c r="A1052" s="211"/>
      <c r="B1052" s="211"/>
      <c r="C1052" s="211"/>
      <c r="D1052" s="211"/>
      <c r="E1052" s="211"/>
      <c r="F1052" s="211"/>
      <c r="G1052" s="211"/>
      <c r="H1052" s="211"/>
      <c r="I1052" s="211"/>
      <c r="J1052" s="211"/>
      <c r="K1052" s="211"/>
      <c r="L1052" s="211"/>
      <c r="M1052" s="211"/>
      <c r="N1052" s="211"/>
    </row>
    <row r="1053" spans="1:14">
      <c r="A1053" s="211"/>
      <c r="B1053" s="211"/>
      <c r="C1053" s="211"/>
      <c r="D1053" s="211"/>
      <c r="E1053" s="211"/>
      <c r="F1053" s="211"/>
      <c r="G1053" s="211"/>
      <c r="H1053" s="211"/>
      <c r="I1053" s="211"/>
      <c r="J1053" s="211"/>
      <c r="K1053" s="211"/>
      <c r="L1053" s="211"/>
      <c r="M1053" s="211"/>
      <c r="N1053" s="211"/>
    </row>
    <row r="1054" spans="1:14">
      <c r="A1054" s="211"/>
      <c r="B1054" s="211"/>
      <c r="C1054" s="211"/>
      <c r="D1054" s="211"/>
      <c r="E1054" s="211"/>
      <c r="F1054" s="211"/>
      <c r="G1054" s="211"/>
      <c r="H1054" s="211"/>
      <c r="I1054" s="211"/>
      <c r="J1054" s="211"/>
      <c r="K1054" s="211"/>
      <c r="L1054" s="211"/>
      <c r="M1054" s="211"/>
      <c r="N1054" s="211"/>
    </row>
    <row r="1055" spans="1:14">
      <c r="A1055" s="211"/>
      <c r="B1055" s="211"/>
      <c r="C1055" s="211"/>
      <c r="D1055" s="211"/>
      <c r="E1055" s="211"/>
      <c r="F1055" s="211"/>
      <c r="G1055" s="211"/>
      <c r="H1055" s="211"/>
      <c r="I1055" s="211"/>
      <c r="J1055" s="211"/>
      <c r="K1055" s="211"/>
      <c r="L1055" s="211"/>
      <c r="M1055" s="211"/>
      <c r="N1055" s="211"/>
    </row>
    <row r="1056" spans="1:14">
      <c r="A1056" s="211"/>
      <c r="B1056" s="211"/>
      <c r="C1056" s="211"/>
      <c r="D1056" s="211"/>
      <c r="E1056" s="211"/>
      <c r="F1056" s="211"/>
      <c r="G1056" s="211"/>
      <c r="H1056" s="211"/>
      <c r="I1056" s="211"/>
      <c r="J1056" s="211"/>
      <c r="K1056" s="211"/>
      <c r="L1056" s="211"/>
      <c r="M1056" s="211"/>
      <c r="N1056" s="211"/>
    </row>
    <row r="1057" spans="1:14">
      <c r="A1057" s="211"/>
      <c r="B1057" s="211"/>
      <c r="C1057" s="211"/>
      <c r="D1057" s="211"/>
      <c r="E1057" s="211"/>
      <c r="F1057" s="211"/>
      <c r="G1057" s="211"/>
      <c r="H1057" s="211"/>
      <c r="I1057" s="211"/>
      <c r="J1057" s="211"/>
      <c r="K1057" s="211"/>
      <c r="L1057" s="211"/>
      <c r="M1057" s="211"/>
      <c r="N1057" s="211"/>
    </row>
    <row r="1058" spans="1:14">
      <c r="A1058" s="211"/>
      <c r="B1058" s="211"/>
      <c r="C1058" s="211"/>
      <c r="D1058" s="211"/>
      <c r="E1058" s="211"/>
      <c r="F1058" s="211"/>
      <c r="G1058" s="211"/>
      <c r="H1058" s="211"/>
      <c r="I1058" s="211"/>
      <c r="J1058" s="211"/>
      <c r="K1058" s="211"/>
      <c r="L1058" s="211"/>
      <c r="M1058" s="211"/>
      <c r="N1058" s="211"/>
    </row>
    <row r="1059" spans="1:14">
      <c r="A1059" s="211"/>
      <c r="B1059" s="211"/>
      <c r="C1059" s="211"/>
      <c r="D1059" s="211"/>
      <c r="E1059" s="211"/>
      <c r="F1059" s="211"/>
      <c r="G1059" s="211"/>
      <c r="H1059" s="211"/>
      <c r="I1059" s="211"/>
      <c r="J1059" s="211"/>
      <c r="K1059" s="211"/>
      <c r="L1059" s="211"/>
      <c r="M1059" s="211"/>
      <c r="N1059" s="211"/>
    </row>
    <row r="1060" spans="1:14">
      <c r="A1060" s="211"/>
      <c r="B1060" s="211"/>
      <c r="C1060" s="211"/>
      <c r="D1060" s="211"/>
      <c r="E1060" s="211"/>
      <c r="F1060" s="211"/>
      <c r="G1060" s="211"/>
      <c r="H1060" s="211"/>
      <c r="I1060" s="211"/>
      <c r="J1060" s="211"/>
      <c r="K1060" s="211"/>
      <c r="L1060" s="211"/>
      <c r="M1060" s="211"/>
      <c r="N1060" s="211"/>
    </row>
    <row r="1061" spans="1:14">
      <c r="A1061" s="211"/>
      <c r="B1061" s="211"/>
      <c r="C1061" s="211"/>
      <c r="D1061" s="211"/>
      <c r="E1061" s="211"/>
      <c r="F1061" s="211"/>
      <c r="G1061" s="211"/>
      <c r="H1061" s="211"/>
      <c r="I1061" s="211"/>
      <c r="J1061" s="211"/>
      <c r="K1061" s="211"/>
      <c r="L1061" s="211"/>
      <c r="M1061" s="211"/>
      <c r="N1061" s="211"/>
    </row>
    <row r="1062" spans="1:14">
      <c r="A1062" s="211"/>
      <c r="B1062" s="211"/>
      <c r="C1062" s="211"/>
      <c r="D1062" s="211"/>
      <c r="E1062" s="211"/>
      <c r="F1062" s="211"/>
      <c r="G1062" s="211"/>
      <c r="H1062" s="211"/>
      <c r="I1062" s="211"/>
      <c r="J1062" s="211"/>
      <c r="K1062" s="211"/>
      <c r="L1062" s="211"/>
      <c r="M1062" s="211"/>
      <c r="N1062" s="211"/>
    </row>
    <row r="1063" spans="1:14">
      <c r="A1063" s="211"/>
      <c r="B1063" s="211"/>
      <c r="C1063" s="211"/>
      <c r="D1063" s="211"/>
      <c r="E1063" s="211"/>
      <c r="F1063" s="211"/>
      <c r="G1063" s="211"/>
      <c r="H1063" s="211"/>
      <c r="I1063" s="211"/>
      <c r="J1063" s="211"/>
      <c r="K1063" s="211"/>
      <c r="L1063" s="211"/>
      <c r="M1063" s="211"/>
      <c r="N1063" s="211"/>
    </row>
    <row r="1064" spans="1:14">
      <c r="A1064" s="211"/>
      <c r="B1064" s="211"/>
      <c r="C1064" s="211"/>
      <c r="D1064" s="211"/>
      <c r="E1064" s="211"/>
      <c r="F1064" s="211"/>
      <c r="G1064" s="211"/>
      <c r="H1064" s="211"/>
      <c r="I1064" s="211"/>
      <c r="J1064" s="211"/>
      <c r="K1064" s="211"/>
      <c r="L1064" s="211"/>
      <c r="M1064" s="211"/>
      <c r="N1064" s="211"/>
    </row>
    <row r="1065" spans="1:14">
      <c r="A1065" s="211"/>
      <c r="B1065" s="211"/>
      <c r="C1065" s="211"/>
      <c r="D1065" s="211"/>
      <c r="E1065" s="211"/>
      <c r="F1065" s="211"/>
      <c r="G1065" s="211"/>
      <c r="H1065" s="211"/>
      <c r="I1065" s="211"/>
      <c r="J1065" s="211"/>
      <c r="K1065" s="211"/>
      <c r="L1065" s="211"/>
      <c r="M1065" s="211"/>
      <c r="N1065" s="211"/>
    </row>
    <row r="1066" spans="1:14">
      <c r="A1066" s="211"/>
      <c r="B1066" s="211"/>
      <c r="C1066" s="211"/>
      <c r="D1066" s="211"/>
      <c r="E1066" s="211"/>
      <c r="F1066" s="211"/>
      <c r="G1066" s="211"/>
      <c r="H1066" s="211"/>
      <c r="I1066" s="211"/>
      <c r="J1066" s="211"/>
      <c r="K1066" s="211"/>
      <c r="L1066" s="211"/>
      <c r="M1066" s="211"/>
      <c r="N1066" s="211"/>
    </row>
    <row r="1067" spans="1:14">
      <c r="A1067" s="211"/>
      <c r="B1067" s="211"/>
      <c r="C1067" s="211"/>
      <c r="D1067" s="211"/>
      <c r="E1067" s="211"/>
      <c r="F1067" s="211"/>
      <c r="G1067" s="211"/>
      <c r="H1067" s="211"/>
      <c r="I1067" s="211"/>
      <c r="J1067" s="211"/>
      <c r="K1067" s="211"/>
      <c r="L1067" s="211"/>
      <c r="M1067" s="211"/>
      <c r="N1067" s="211"/>
    </row>
    <row r="1068" spans="1:14">
      <c r="A1068" s="211"/>
      <c r="B1068" s="211"/>
      <c r="C1068" s="211"/>
      <c r="D1068" s="211"/>
      <c r="E1068" s="211"/>
      <c r="F1068" s="211"/>
      <c r="G1068" s="211"/>
      <c r="H1068" s="211"/>
      <c r="I1068" s="211"/>
      <c r="J1068" s="211"/>
      <c r="K1068" s="211"/>
      <c r="L1068" s="211"/>
      <c r="M1068" s="211"/>
      <c r="N1068" s="211"/>
    </row>
    <row r="1069" spans="1:14">
      <c r="A1069" s="211"/>
      <c r="B1069" s="211"/>
      <c r="C1069" s="211"/>
      <c r="D1069" s="211"/>
      <c r="E1069" s="211"/>
      <c r="F1069" s="211"/>
      <c r="G1069" s="211"/>
      <c r="H1069" s="211"/>
      <c r="I1069" s="211"/>
      <c r="J1069" s="211"/>
      <c r="K1069" s="211"/>
      <c r="L1069" s="211"/>
      <c r="M1069" s="211"/>
      <c r="N1069" s="211"/>
    </row>
    <row r="1070" spans="1:14">
      <c r="A1070" s="211"/>
      <c r="B1070" s="211"/>
      <c r="C1070" s="211"/>
      <c r="D1070" s="211"/>
      <c r="E1070" s="211"/>
      <c r="F1070" s="211"/>
      <c r="G1070" s="211"/>
      <c r="H1070" s="211"/>
      <c r="I1070" s="211"/>
      <c r="J1070" s="211"/>
      <c r="K1070" s="211"/>
      <c r="L1070" s="211"/>
      <c r="M1070" s="211"/>
      <c r="N1070" s="211"/>
    </row>
    <row r="1071" spans="1:14">
      <c r="A1071" s="211"/>
      <c r="B1071" s="211"/>
      <c r="C1071" s="211"/>
      <c r="D1071" s="211"/>
      <c r="E1071" s="211"/>
      <c r="F1071" s="211"/>
      <c r="G1071" s="211"/>
      <c r="H1071" s="211"/>
      <c r="I1071" s="211"/>
      <c r="J1071" s="211"/>
      <c r="K1071" s="211"/>
      <c r="L1071" s="211"/>
      <c r="M1071" s="211"/>
      <c r="N1071" s="211"/>
    </row>
    <row r="1072" spans="1:14">
      <c r="A1072" s="211"/>
      <c r="B1072" s="211"/>
      <c r="C1072" s="211"/>
      <c r="D1072" s="211"/>
      <c r="E1072" s="211"/>
      <c r="F1072" s="211"/>
      <c r="G1072" s="211"/>
      <c r="H1072" s="211"/>
      <c r="I1072" s="211"/>
      <c r="J1072" s="211"/>
      <c r="K1072" s="211"/>
      <c r="L1072" s="211"/>
      <c r="M1072" s="211"/>
      <c r="N1072" s="211"/>
    </row>
    <row r="1073" spans="1:14">
      <c r="A1073" s="211"/>
      <c r="B1073" s="211"/>
      <c r="C1073" s="211"/>
      <c r="D1073" s="211"/>
      <c r="E1073" s="211"/>
      <c r="F1073" s="211"/>
      <c r="G1073" s="211"/>
      <c r="H1073" s="211"/>
      <c r="I1073" s="211"/>
      <c r="J1073" s="211"/>
      <c r="K1073" s="211"/>
      <c r="L1073" s="211"/>
      <c r="M1073" s="211"/>
      <c r="N1073" s="211"/>
    </row>
    <row r="1074" spans="1:14">
      <c r="A1074" s="211"/>
      <c r="B1074" s="211"/>
      <c r="C1074" s="211"/>
      <c r="D1074" s="211"/>
      <c r="E1074" s="211"/>
      <c r="F1074" s="211"/>
      <c r="G1074" s="211"/>
      <c r="H1074" s="211"/>
      <c r="I1074" s="211"/>
      <c r="J1074" s="211"/>
      <c r="K1074" s="211"/>
      <c r="L1074" s="211"/>
      <c r="M1074" s="211"/>
      <c r="N1074" s="211"/>
    </row>
    <row r="1075" spans="1:14">
      <c r="A1075" s="211"/>
      <c r="B1075" s="211"/>
      <c r="C1075" s="211"/>
      <c r="D1075" s="211"/>
      <c r="E1075" s="211"/>
      <c r="F1075" s="211"/>
      <c r="G1075" s="211"/>
      <c r="H1075" s="211"/>
      <c r="I1075" s="211"/>
      <c r="J1075" s="211"/>
      <c r="K1075" s="211"/>
      <c r="L1075" s="211"/>
      <c r="M1075" s="211"/>
      <c r="N1075" s="211"/>
    </row>
    <row r="1076" spans="1:14">
      <c r="A1076" s="211"/>
      <c r="B1076" s="211"/>
      <c r="C1076" s="211"/>
      <c r="D1076" s="211"/>
      <c r="E1076" s="211"/>
      <c r="F1076" s="211"/>
      <c r="G1076" s="211"/>
      <c r="H1076" s="211"/>
      <c r="I1076" s="211"/>
      <c r="J1076" s="211"/>
      <c r="K1076" s="211"/>
      <c r="L1076" s="211"/>
      <c r="M1076" s="211"/>
      <c r="N1076" s="211"/>
    </row>
    <row r="1077" spans="1:14">
      <c r="A1077" s="211"/>
      <c r="B1077" s="211"/>
      <c r="C1077" s="211"/>
      <c r="D1077" s="211"/>
      <c r="E1077" s="211"/>
      <c r="F1077" s="211"/>
      <c r="G1077" s="211"/>
      <c r="H1077" s="211"/>
      <c r="I1077" s="211"/>
      <c r="J1077" s="211"/>
      <c r="K1077" s="211"/>
      <c r="L1077" s="211"/>
      <c r="M1077" s="211"/>
      <c r="N1077" s="211"/>
    </row>
    <row r="1078" spans="1:14">
      <c r="A1078" s="211"/>
      <c r="B1078" s="211"/>
      <c r="C1078" s="211"/>
      <c r="D1078" s="211"/>
      <c r="E1078" s="211"/>
      <c r="F1078" s="211"/>
      <c r="G1078" s="211"/>
      <c r="H1078" s="211"/>
      <c r="I1078" s="211"/>
      <c r="J1078" s="211"/>
      <c r="K1078" s="211"/>
      <c r="L1078" s="211"/>
      <c r="M1078" s="211"/>
      <c r="N1078" s="211"/>
    </row>
    <row r="1079" spans="1:14">
      <c r="A1079" s="211"/>
      <c r="B1079" s="211"/>
      <c r="C1079" s="211"/>
      <c r="D1079" s="211"/>
      <c r="E1079" s="211"/>
      <c r="F1079" s="211"/>
      <c r="G1079" s="211"/>
      <c r="H1079" s="211"/>
      <c r="I1079" s="211"/>
      <c r="J1079" s="211"/>
      <c r="K1079" s="211"/>
      <c r="L1079" s="211"/>
      <c r="M1079" s="211"/>
      <c r="N1079" s="211"/>
    </row>
    <row r="1080" spans="1:14">
      <c r="A1080" s="211"/>
      <c r="B1080" s="211"/>
      <c r="C1080" s="211"/>
      <c r="D1080" s="211"/>
      <c r="E1080" s="211"/>
      <c r="F1080" s="211"/>
      <c r="G1080" s="211"/>
      <c r="H1080" s="211"/>
      <c r="I1080" s="211"/>
      <c r="J1080" s="211"/>
      <c r="K1080" s="211"/>
      <c r="L1080" s="211"/>
      <c r="M1080" s="211"/>
      <c r="N1080" s="211"/>
    </row>
    <row r="1081" spans="1:14">
      <c r="A1081" s="211"/>
      <c r="B1081" s="211"/>
      <c r="C1081" s="211"/>
      <c r="D1081" s="211"/>
      <c r="E1081" s="211"/>
      <c r="F1081" s="211"/>
      <c r="G1081" s="211"/>
      <c r="H1081" s="211"/>
      <c r="I1081" s="211"/>
      <c r="J1081" s="211"/>
      <c r="K1081" s="211"/>
      <c r="L1081" s="211"/>
      <c r="M1081" s="211"/>
      <c r="N1081" s="211"/>
    </row>
    <row r="1082" spans="1:14">
      <c r="A1082" s="211"/>
      <c r="B1082" s="211"/>
      <c r="C1082" s="211"/>
      <c r="D1082" s="211"/>
      <c r="E1082" s="211"/>
      <c r="F1082" s="211"/>
      <c r="G1082" s="211"/>
      <c r="H1082" s="211"/>
      <c r="I1082" s="211"/>
      <c r="J1082" s="211"/>
      <c r="K1082" s="211"/>
      <c r="L1082" s="211"/>
      <c r="M1082" s="211"/>
      <c r="N1082" s="211"/>
    </row>
    <row r="1083" spans="1:14">
      <c r="A1083" s="211"/>
      <c r="B1083" s="211"/>
      <c r="C1083" s="211"/>
      <c r="D1083" s="211"/>
      <c r="E1083" s="211"/>
      <c r="F1083" s="211"/>
      <c r="G1083" s="211"/>
      <c r="H1083" s="211"/>
      <c r="I1083" s="211"/>
      <c r="J1083" s="211"/>
      <c r="K1083" s="211"/>
      <c r="L1083" s="211"/>
      <c r="M1083" s="211"/>
      <c r="N1083" s="211"/>
    </row>
    <row r="1084" spans="1:14">
      <c r="A1084" s="211"/>
      <c r="B1084" s="211"/>
      <c r="C1084" s="211"/>
      <c r="D1084" s="211"/>
      <c r="E1084" s="211"/>
      <c r="F1084" s="211"/>
      <c r="G1084" s="211"/>
      <c r="H1084" s="211"/>
      <c r="I1084" s="211"/>
      <c r="J1084" s="211"/>
      <c r="K1084" s="211"/>
      <c r="L1084" s="211"/>
      <c r="M1084" s="211"/>
      <c r="N1084" s="211"/>
    </row>
    <row r="1085" spans="1:14">
      <c r="A1085" s="211"/>
      <c r="B1085" s="211"/>
      <c r="C1085" s="211"/>
      <c r="D1085" s="211"/>
      <c r="E1085" s="211"/>
      <c r="F1085" s="211"/>
      <c r="G1085" s="211"/>
      <c r="H1085" s="211"/>
      <c r="I1085" s="211"/>
      <c r="J1085" s="211"/>
      <c r="K1085" s="211"/>
      <c r="L1085" s="211"/>
      <c r="M1085" s="211"/>
      <c r="N1085" s="211"/>
    </row>
    <row r="1086" spans="1:14">
      <c r="A1086" s="211"/>
      <c r="B1086" s="211"/>
      <c r="C1086" s="211"/>
      <c r="D1086" s="211"/>
      <c r="E1086" s="211"/>
      <c r="F1086" s="211"/>
      <c r="G1086" s="211"/>
      <c r="H1086" s="211"/>
      <c r="I1086" s="211"/>
      <c r="J1086" s="211"/>
      <c r="K1086" s="211"/>
      <c r="L1086" s="211"/>
      <c r="M1086" s="211"/>
      <c r="N1086" s="211"/>
    </row>
    <row r="1087" spans="1:14">
      <c r="A1087" s="211"/>
      <c r="B1087" s="211"/>
      <c r="C1087" s="211"/>
      <c r="D1087" s="211"/>
      <c r="E1087" s="211"/>
      <c r="F1087" s="211"/>
      <c r="G1087" s="211"/>
      <c r="H1087" s="211"/>
      <c r="I1087" s="211"/>
      <c r="J1087" s="211"/>
      <c r="K1087" s="211"/>
      <c r="L1087" s="211"/>
      <c r="M1087" s="211"/>
      <c r="N1087" s="211"/>
    </row>
    <row r="1088" spans="1:14">
      <c r="A1088" s="211"/>
      <c r="B1088" s="211"/>
      <c r="C1088" s="211"/>
      <c r="D1088" s="211"/>
      <c r="E1088" s="211"/>
      <c r="F1088" s="211"/>
      <c r="G1088" s="211"/>
      <c r="H1088" s="211"/>
      <c r="I1088" s="211"/>
      <c r="J1088" s="211"/>
      <c r="K1088" s="211"/>
      <c r="L1088" s="211"/>
      <c r="M1088" s="211"/>
      <c r="N1088" s="211"/>
    </row>
    <row r="1089" spans="1:14">
      <c r="A1089" s="211"/>
      <c r="B1089" s="211"/>
      <c r="C1089" s="211"/>
      <c r="D1089" s="211"/>
      <c r="E1089" s="211"/>
      <c r="F1089" s="211"/>
      <c r="G1089" s="211"/>
      <c r="H1089" s="211"/>
      <c r="I1089" s="211"/>
      <c r="J1089" s="211"/>
      <c r="K1089" s="211"/>
      <c r="L1089" s="211"/>
      <c r="M1089" s="211"/>
      <c r="N1089" s="211"/>
    </row>
    <row r="1090" spans="1:14">
      <c r="A1090" s="211"/>
      <c r="B1090" s="211"/>
      <c r="C1090" s="211"/>
      <c r="D1090" s="211"/>
      <c r="E1090" s="211"/>
      <c r="F1090" s="211"/>
      <c r="G1090" s="211"/>
      <c r="H1090" s="211"/>
      <c r="I1090" s="211"/>
      <c r="J1090" s="211"/>
      <c r="K1090" s="211"/>
      <c r="L1090" s="211"/>
      <c r="M1090" s="211"/>
      <c r="N1090" s="211"/>
    </row>
    <row r="1091" spans="1:14">
      <c r="A1091" s="211"/>
      <c r="B1091" s="211"/>
      <c r="C1091" s="211"/>
      <c r="D1091" s="211"/>
      <c r="E1091" s="211"/>
      <c r="F1091" s="211"/>
      <c r="G1091" s="211"/>
      <c r="H1091" s="211"/>
      <c r="I1091" s="211"/>
      <c r="J1091" s="211"/>
      <c r="K1091" s="211"/>
      <c r="L1091" s="211"/>
      <c r="M1091" s="211"/>
      <c r="N1091" s="211"/>
    </row>
    <row r="1092" spans="1:14">
      <c r="A1092" s="211"/>
      <c r="B1092" s="211"/>
      <c r="C1092" s="211"/>
      <c r="D1092" s="211"/>
      <c r="E1092" s="211"/>
      <c r="F1092" s="211"/>
      <c r="G1092" s="211"/>
      <c r="H1092" s="211"/>
      <c r="I1092" s="211"/>
      <c r="J1092" s="211"/>
      <c r="K1092" s="211"/>
      <c r="L1092" s="211"/>
      <c r="M1092" s="211"/>
      <c r="N1092" s="211"/>
    </row>
    <row r="1093" spans="1:14">
      <c r="A1093" s="211"/>
      <c r="B1093" s="211"/>
      <c r="C1093" s="211"/>
      <c r="D1093" s="211"/>
      <c r="E1093" s="211"/>
      <c r="F1093" s="211"/>
      <c r="G1093" s="211"/>
      <c r="H1093" s="211"/>
      <c r="I1093" s="211"/>
      <c r="J1093" s="211"/>
      <c r="K1093" s="211"/>
      <c r="L1093" s="211"/>
      <c r="M1093" s="211"/>
      <c r="N1093" s="211"/>
    </row>
    <row r="1094" spans="1:14">
      <c r="A1094" s="211"/>
      <c r="B1094" s="211"/>
      <c r="C1094" s="211"/>
      <c r="D1094" s="211"/>
      <c r="E1094" s="211"/>
      <c r="F1094" s="211"/>
      <c r="G1094" s="211"/>
      <c r="H1094" s="211"/>
      <c r="I1094" s="211"/>
      <c r="J1094" s="211"/>
      <c r="K1094" s="211"/>
      <c r="L1094" s="211"/>
      <c r="M1094" s="211"/>
      <c r="N1094" s="211"/>
    </row>
    <row r="1095" spans="1:14">
      <c r="A1095" s="211"/>
      <c r="B1095" s="211"/>
      <c r="C1095" s="211"/>
      <c r="D1095" s="211"/>
      <c r="E1095" s="211"/>
      <c r="F1095" s="211"/>
      <c r="G1095" s="211"/>
      <c r="H1095" s="211"/>
      <c r="I1095" s="211"/>
      <c r="J1095" s="211"/>
      <c r="K1095" s="211"/>
      <c r="L1095" s="211"/>
      <c r="M1095" s="211"/>
      <c r="N1095" s="211"/>
    </row>
    <row r="1096" spans="1:14">
      <c r="A1096" s="211"/>
      <c r="B1096" s="211"/>
      <c r="C1096" s="211"/>
      <c r="D1096" s="211"/>
      <c r="E1096" s="211"/>
      <c r="F1096" s="211"/>
      <c r="G1096" s="211"/>
      <c r="H1096" s="211"/>
      <c r="I1096" s="211"/>
      <c r="J1096" s="211"/>
      <c r="K1096" s="211"/>
      <c r="L1096" s="211"/>
      <c r="M1096" s="211"/>
      <c r="N1096" s="211"/>
    </row>
    <row r="1097" spans="1:14">
      <c r="A1097" s="211"/>
      <c r="B1097" s="211"/>
      <c r="C1097" s="211"/>
      <c r="D1097" s="211"/>
      <c r="E1097" s="211"/>
      <c r="F1097" s="211"/>
      <c r="G1097" s="211"/>
      <c r="H1097" s="211"/>
      <c r="I1097" s="211"/>
      <c r="J1097" s="211"/>
      <c r="K1097" s="211"/>
      <c r="L1097" s="211"/>
      <c r="M1097" s="211"/>
      <c r="N1097" s="211"/>
    </row>
    <row r="1098" spans="1:14">
      <c r="A1098" s="211"/>
      <c r="B1098" s="211"/>
      <c r="C1098" s="211"/>
      <c r="D1098" s="211"/>
      <c r="E1098" s="211"/>
      <c r="F1098" s="211"/>
      <c r="G1098" s="211"/>
      <c r="H1098" s="211"/>
      <c r="I1098" s="211"/>
      <c r="J1098" s="211"/>
      <c r="K1098" s="211"/>
      <c r="L1098" s="211"/>
      <c r="M1098" s="211"/>
      <c r="N1098" s="211"/>
    </row>
    <row r="1099" spans="1:14">
      <c r="A1099" s="211"/>
      <c r="B1099" s="211"/>
      <c r="C1099" s="211"/>
      <c r="D1099" s="211"/>
      <c r="E1099" s="211"/>
      <c r="F1099" s="211"/>
      <c r="G1099" s="211"/>
      <c r="H1099" s="211"/>
      <c r="I1099" s="211"/>
      <c r="J1099" s="211"/>
      <c r="K1099" s="211"/>
      <c r="L1099" s="211"/>
      <c r="M1099" s="211"/>
      <c r="N1099" s="211"/>
    </row>
    <row r="1100" spans="1:14">
      <c r="A1100" s="211"/>
      <c r="B1100" s="211"/>
      <c r="C1100" s="211"/>
      <c r="D1100" s="211"/>
      <c r="E1100" s="211"/>
      <c r="F1100" s="211"/>
      <c r="G1100" s="211"/>
      <c r="H1100" s="211"/>
      <c r="I1100" s="211"/>
      <c r="J1100" s="211"/>
      <c r="K1100" s="211"/>
      <c r="L1100" s="211"/>
      <c r="M1100" s="211"/>
      <c r="N1100" s="211"/>
    </row>
    <row r="1101" spans="1:14">
      <c r="A1101" s="211"/>
      <c r="B1101" s="211"/>
      <c r="C1101" s="211"/>
      <c r="D1101" s="211"/>
      <c r="E1101" s="211"/>
      <c r="F1101" s="211"/>
      <c r="G1101" s="211"/>
      <c r="H1101" s="211"/>
      <c r="I1101" s="211"/>
      <c r="J1101" s="211"/>
      <c r="K1101" s="211"/>
      <c r="L1101" s="211"/>
      <c r="M1101" s="211"/>
      <c r="N1101" s="211"/>
    </row>
    <row r="1102" spans="1:14">
      <c r="A1102" s="211"/>
      <c r="B1102" s="211"/>
      <c r="C1102" s="211"/>
      <c r="D1102" s="211"/>
      <c r="E1102" s="211"/>
      <c r="F1102" s="211"/>
      <c r="G1102" s="211"/>
      <c r="H1102" s="211"/>
      <c r="I1102" s="211"/>
      <c r="J1102" s="211"/>
      <c r="K1102" s="211"/>
      <c r="L1102" s="211"/>
      <c r="M1102" s="211"/>
      <c r="N1102" s="211"/>
    </row>
    <row r="1103" spans="1:14">
      <c r="A1103" s="211"/>
      <c r="B1103" s="211"/>
      <c r="C1103" s="211"/>
      <c r="D1103" s="211"/>
      <c r="E1103" s="211"/>
      <c r="F1103" s="211"/>
      <c r="G1103" s="211"/>
      <c r="H1103" s="211"/>
      <c r="I1103" s="211"/>
      <c r="J1103" s="211"/>
      <c r="K1103" s="211"/>
      <c r="L1103" s="211"/>
      <c r="M1103" s="211"/>
      <c r="N1103" s="211"/>
    </row>
    <row r="1104" spans="1:14">
      <c r="A1104" s="211"/>
      <c r="B1104" s="211"/>
      <c r="C1104" s="211"/>
      <c r="D1104" s="211"/>
      <c r="E1104" s="211"/>
      <c r="F1104" s="211"/>
      <c r="G1104" s="211"/>
      <c r="H1104" s="211"/>
      <c r="I1104" s="211"/>
      <c r="J1104" s="211"/>
      <c r="K1104" s="211"/>
      <c r="L1104" s="211"/>
      <c r="M1104" s="211"/>
      <c r="N1104" s="211"/>
    </row>
    <row r="1105" spans="1:14">
      <c r="A1105" s="211"/>
      <c r="B1105" s="211"/>
      <c r="C1105" s="211"/>
      <c r="D1105" s="211"/>
      <c r="E1105" s="211"/>
      <c r="F1105" s="211"/>
      <c r="G1105" s="211"/>
      <c r="H1105" s="211"/>
      <c r="I1105" s="211"/>
      <c r="J1105" s="211"/>
      <c r="K1105" s="211"/>
      <c r="L1105" s="211"/>
      <c r="M1105" s="211"/>
      <c r="N1105" s="211"/>
    </row>
    <row r="1106" spans="1:14">
      <c r="A1106" s="211"/>
      <c r="B1106" s="211"/>
      <c r="C1106" s="211"/>
      <c r="D1106" s="211"/>
      <c r="E1106" s="211"/>
      <c r="F1106" s="211"/>
      <c r="G1106" s="211"/>
      <c r="H1106" s="211"/>
      <c r="I1106" s="211"/>
      <c r="J1106" s="211"/>
      <c r="K1106" s="211"/>
      <c r="L1106" s="211"/>
      <c r="M1106" s="211"/>
      <c r="N1106" s="211"/>
    </row>
    <row r="1107" spans="1:14">
      <c r="A1107" s="211"/>
      <c r="B1107" s="211"/>
      <c r="C1107" s="211"/>
      <c r="D1107" s="211"/>
      <c r="E1107" s="211"/>
      <c r="F1107" s="211"/>
      <c r="G1107" s="211"/>
      <c r="H1107" s="211"/>
      <c r="I1107" s="211"/>
      <c r="J1107" s="211"/>
      <c r="K1107" s="211"/>
      <c r="L1107" s="211"/>
      <c r="M1107" s="211"/>
      <c r="N1107" s="211"/>
    </row>
    <row r="1108" spans="1:14">
      <c r="A1108" s="211"/>
      <c r="B1108" s="211"/>
      <c r="C1108" s="211"/>
      <c r="D1108" s="211"/>
      <c r="E1108" s="211"/>
      <c r="F1108" s="211"/>
      <c r="G1108" s="211"/>
      <c r="H1108" s="211"/>
      <c r="I1108" s="211"/>
      <c r="J1108" s="211"/>
      <c r="K1108" s="211"/>
      <c r="L1108" s="211"/>
      <c r="M1108" s="211"/>
      <c r="N1108" s="211"/>
    </row>
    <row r="1109" spans="1:14">
      <c r="A1109" s="211"/>
      <c r="B1109" s="211"/>
      <c r="C1109" s="211"/>
      <c r="D1109" s="211"/>
      <c r="E1109" s="211"/>
      <c r="F1109" s="211"/>
      <c r="G1109" s="211"/>
      <c r="H1109" s="211"/>
      <c r="I1109" s="211"/>
      <c r="J1109" s="211"/>
      <c r="K1109" s="211"/>
      <c r="L1109" s="211"/>
      <c r="M1109" s="211"/>
      <c r="N1109" s="211"/>
    </row>
    <row r="1110" spans="1:14">
      <c r="A1110" s="211"/>
      <c r="B1110" s="211"/>
      <c r="C1110" s="211"/>
      <c r="D1110" s="211"/>
      <c r="E1110" s="211"/>
      <c r="F1110" s="211"/>
      <c r="G1110" s="211"/>
      <c r="H1110" s="211"/>
      <c r="I1110" s="211"/>
      <c r="J1110" s="211"/>
      <c r="K1110" s="211"/>
      <c r="L1110" s="211"/>
      <c r="M1110" s="211"/>
      <c r="N1110" s="211"/>
    </row>
    <row r="1111" spans="1:14">
      <c r="A1111" s="211"/>
      <c r="B1111" s="211"/>
      <c r="C1111" s="211"/>
      <c r="D1111" s="211"/>
      <c r="E1111" s="211"/>
      <c r="F1111" s="211"/>
      <c r="G1111" s="211"/>
      <c r="H1111" s="211"/>
      <c r="I1111" s="211"/>
      <c r="J1111" s="211"/>
      <c r="K1111" s="211"/>
      <c r="L1111" s="211"/>
      <c r="M1111" s="211"/>
      <c r="N1111" s="211"/>
    </row>
    <row r="1112" spans="1:14">
      <c r="A1112" s="211"/>
      <c r="B1112" s="211"/>
      <c r="C1112" s="211"/>
      <c r="D1112" s="211"/>
      <c r="E1112" s="211"/>
      <c r="F1112" s="211"/>
      <c r="G1112" s="211"/>
      <c r="H1112" s="211"/>
      <c r="I1112" s="211"/>
      <c r="J1112" s="211"/>
      <c r="K1112" s="211"/>
      <c r="L1112" s="211"/>
      <c r="M1112" s="211"/>
      <c r="N1112" s="211"/>
    </row>
    <row r="1113" spans="1:14">
      <c r="A1113" s="211"/>
      <c r="B1113" s="211"/>
      <c r="C1113" s="211"/>
      <c r="D1113" s="211"/>
      <c r="E1113" s="211"/>
      <c r="F1113" s="211"/>
      <c r="G1113" s="211"/>
      <c r="H1113" s="211"/>
      <c r="I1113" s="211"/>
      <c r="J1113" s="211"/>
      <c r="K1113" s="211"/>
      <c r="L1113" s="211"/>
      <c r="M1113" s="211"/>
      <c r="N1113" s="211"/>
    </row>
    <row r="1114" spans="1:14">
      <c r="A1114" s="211"/>
      <c r="B1114" s="211"/>
      <c r="C1114" s="211"/>
      <c r="D1114" s="211"/>
      <c r="E1114" s="211"/>
      <c r="F1114" s="211"/>
      <c r="G1114" s="211"/>
      <c r="H1114" s="211"/>
      <c r="I1114" s="211"/>
      <c r="J1114" s="211"/>
      <c r="K1114" s="211"/>
      <c r="L1114" s="211"/>
      <c r="M1114" s="211"/>
      <c r="N1114" s="211"/>
    </row>
    <row r="1115" spans="1:14">
      <c r="A1115" s="211"/>
      <c r="B1115" s="211"/>
      <c r="C1115" s="211"/>
      <c r="D1115" s="211"/>
      <c r="E1115" s="211"/>
      <c r="F1115" s="211"/>
      <c r="G1115" s="211"/>
      <c r="H1115" s="211"/>
      <c r="I1115" s="211"/>
      <c r="J1115" s="211"/>
      <c r="K1115" s="211"/>
      <c r="L1115" s="211"/>
      <c r="M1115" s="211"/>
      <c r="N1115" s="211"/>
    </row>
    <row r="1116" spans="1:14">
      <c r="A1116" s="211"/>
      <c r="B1116" s="211"/>
      <c r="C1116" s="211"/>
      <c r="D1116" s="211"/>
      <c r="E1116" s="211"/>
      <c r="F1116" s="211"/>
      <c r="G1116" s="211"/>
      <c r="H1116" s="211"/>
      <c r="I1116" s="211"/>
      <c r="J1116" s="211"/>
      <c r="K1116" s="211"/>
      <c r="L1116" s="211"/>
      <c r="M1116" s="211"/>
      <c r="N1116" s="211"/>
    </row>
    <row r="1117" spans="1:14">
      <c r="A1117" s="211"/>
      <c r="B1117" s="211"/>
      <c r="C1117" s="211"/>
      <c r="D1117" s="211"/>
      <c r="E1117" s="211"/>
      <c r="F1117" s="211"/>
      <c r="G1117" s="211"/>
      <c r="H1117" s="211"/>
      <c r="I1117" s="211"/>
      <c r="J1117" s="211"/>
      <c r="K1117" s="211"/>
      <c r="L1117" s="211"/>
      <c r="M1117" s="211"/>
      <c r="N1117" s="211"/>
    </row>
    <row r="1118" spans="1:14">
      <c r="A1118" s="211"/>
      <c r="B1118" s="211"/>
      <c r="C1118" s="211"/>
      <c r="D1118" s="211"/>
      <c r="E1118" s="211"/>
      <c r="F1118" s="211"/>
      <c r="G1118" s="211"/>
      <c r="H1118" s="211"/>
      <c r="I1118" s="211"/>
      <c r="J1118" s="211"/>
      <c r="K1118" s="211"/>
      <c r="L1118" s="211"/>
      <c r="M1118" s="211"/>
      <c r="N1118" s="211"/>
    </row>
    <row r="1119" spans="1:14">
      <c r="A1119" s="211"/>
      <c r="B1119" s="211"/>
      <c r="C1119" s="211"/>
      <c r="D1119" s="211"/>
      <c r="E1119" s="211"/>
      <c r="F1119" s="211"/>
      <c r="G1119" s="211"/>
      <c r="H1119" s="211"/>
      <c r="I1119" s="211"/>
      <c r="J1119" s="211"/>
      <c r="K1119" s="211"/>
      <c r="L1119" s="211"/>
      <c r="M1119" s="211"/>
      <c r="N1119" s="211"/>
    </row>
    <row r="1120" spans="1:14">
      <c r="A1120" s="211"/>
      <c r="B1120" s="211"/>
      <c r="C1120" s="211"/>
      <c r="D1120" s="211"/>
      <c r="E1120" s="211"/>
      <c r="F1120" s="211"/>
      <c r="G1120" s="211"/>
      <c r="H1120" s="211"/>
      <c r="I1120" s="211"/>
      <c r="J1120" s="211"/>
      <c r="K1120" s="211"/>
      <c r="L1120" s="211"/>
      <c r="M1120" s="211"/>
      <c r="N1120" s="211"/>
    </row>
    <row r="1121" spans="1:14">
      <c r="A1121" s="211"/>
      <c r="B1121" s="211"/>
      <c r="C1121" s="211"/>
      <c r="D1121" s="211"/>
      <c r="E1121" s="211"/>
      <c r="F1121" s="211"/>
      <c r="G1121" s="211"/>
      <c r="H1121" s="211"/>
      <c r="I1121" s="211"/>
      <c r="J1121" s="211"/>
      <c r="K1121" s="211"/>
      <c r="L1121" s="211"/>
      <c r="M1121" s="211"/>
      <c r="N1121" s="211"/>
    </row>
    <row r="1122" spans="1:14">
      <c r="A1122" s="211"/>
      <c r="B1122" s="211"/>
      <c r="C1122" s="211"/>
      <c r="D1122" s="211"/>
      <c r="E1122" s="211"/>
      <c r="F1122" s="211"/>
      <c r="G1122" s="211"/>
      <c r="H1122" s="211"/>
      <c r="I1122" s="211"/>
      <c r="J1122" s="211"/>
      <c r="K1122" s="211"/>
      <c r="L1122" s="211"/>
      <c r="M1122" s="211"/>
      <c r="N1122" s="211"/>
    </row>
    <row r="1123" spans="1:14">
      <c r="A1123" s="211"/>
      <c r="B1123" s="211"/>
      <c r="C1123" s="211"/>
      <c r="D1123" s="211"/>
      <c r="E1123" s="211"/>
      <c r="F1123" s="211"/>
      <c r="G1123" s="211"/>
      <c r="H1123" s="211"/>
      <c r="I1123" s="211"/>
      <c r="J1123" s="211"/>
      <c r="K1123" s="211"/>
      <c r="L1123" s="211"/>
      <c r="M1123" s="211"/>
      <c r="N1123" s="211"/>
    </row>
    <row r="1124" spans="1:14">
      <c r="A1124" s="211"/>
      <c r="B1124" s="211"/>
      <c r="C1124" s="211"/>
      <c r="D1124" s="211"/>
      <c r="E1124" s="211"/>
      <c r="F1124" s="211"/>
      <c r="G1124" s="211"/>
      <c r="H1124" s="211"/>
      <c r="I1124" s="211"/>
      <c r="J1124" s="211"/>
      <c r="K1124" s="211"/>
      <c r="L1124" s="211"/>
      <c r="M1124" s="211"/>
      <c r="N1124" s="211"/>
    </row>
    <row r="1125" spans="1:14">
      <c r="A1125" s="211"/>
      <c r="B1125" s="211"/>
      <c r="C1125" s="211"/>
      <c r="D1125" s="211"/>
      <c r="E1125" s="211"/>
      <c r="F1125" s="211"/>
      <c r="G1125" s="211"/>
      <c r="H1125" s="211"/>
      <c r="I1125" s="211"/>
      <c r="J1125" s="211"/>
      <c r="K1125" s="211"/>
      <c r="L1125" s="211"/>
      <c r="M1125" s="211"/>
      <c r="N1125" s="211"/>
    </row>
    <row r="1126" spans="1:14">
      <c r="A1126" s="211"/>
      <c r="B1126" s="211"/>
      <c r="C1126" s="211"/>
      <c r="D1126" s="211"/>
      <c r="E1126" s="211"/>
      <c r="F1126" s="211"/>
      <c r="G1126" s="211"/>
      <c r="H1126" s="211"/>
      <c r="I1126" s="211"/>
      <c r="J1126" s="211"/>
      <c r="K1126" s="211"/>
      <c r="L1126" s="211"/>
      <c r="M1126" s="211"/>
      <c r="N1126" s="211"/>
    </row>
    <row r="1127" spans="1:14">
      <c r="A1127" s="211"/>
      <c r="B1127" s="211"/>
      <c r="C1127" s="211"/>
      <c r="D1127" s="211"/>
      <c r="E1127" s="211"/>
      <c r="F1127" s="211"/>
      <c r="G1127" s="211"/>
      <c r="H1127" s="211"/>
      <c r="I1127" s="211"/>
      <c r="J1127" s="211"/>
      <c r="K1127" s="211"/>
      <c r="L1127" s="211"/>
      <c r="M1127" s="211"/>
      <c r="N1127" s="211"/>
    </row>
    <row r="1128" spans="1:14">
      <c r="A1128" s="211"/>
      <c r="B1128" s="211"/>
      <c r="C1128" s="211"/>
      <c r="D1128" s="211"/>
      <c r="E1128" s="211"/>
      <c r="F1128" s="211"/>
      <c r="G1128" s="211"/>
      <c r="H1128" s="211"/>
      <c r="I1128" s="211"/>
      <c r="J1128" s="211"/>
      <c r="K1128" s="211"/>
      <c r="L1128" s="211"/>
      <c r="M1128" s="211"/>
      <c r="N1128" s="211"/>
    </row>
    <row r="1129" spans="1:14">
      <c r="A1129" s="211"/>
      <c r="B1129" s="211"/>
      <c r="C1129" s="211"/>
      <c r="D1129" s="211"/>
      <c r="E1129" s="211"/>
      <c r="F1129" s="211"/>
      <c r="G1129" s="211"/>
      <c r="H1129" s="211"/>
      <c r="I1129" s="211"/>
      <c r="J1129" s="211"/>
      <c r="K1129" s="211"/>
      <c r="L1129" s="211"/>
      <c r="M1129" s="211"/>
      <c r="N1129" s="211"/>
    </row>
    <row r="1130" spans="1:14">
      <c r="A1130" s="211"/>
      <c r="B1130" s="211"/>
      <c r="C1130" s="211"/>
      <c r="D1130" s="211"/>
      <c r="E1130" s="211"/>
      <c r="F1130" s="211"/>
      <c r="G1130" s="211"/>
      <c r="H1130" s="211"/>
      <c r="I1130" s="211"/>
      <c r="J1130" s="211"/>
      <c r="K1130" s="211"/>
      <c r="L1130" s="211"/>
      <c r="M1130" s="211"/>
      <c r="N1130" s="211"/>
    </row>
    <row r="1131" spans="1:14">
      <c r="A1131" s="211"/>
      <c r="B1131" s="211"/>
      <c r="C1131" s="211"/>
      <c r="D1131" s="211"/>
      <c r="E1131" s="211"/>
      <c r="F1131" s="211"/>
      <c r="G1131" s="211"/>
      <c r="H1131" s="211"/>
      <c r="I1131" s="211"/>
      <c r="J1131" s="211"/>
      <c r="K1131" s="211"/>
      <c r="L1131" s="211"/>
      <c r="M1131" s="211"/>
      <c r="N1131" s="211"/>
    </row>
    <row r="1132" spans="1:14">
      <c r="A1132" s="211"/>
      <c r="B1132" s="211"/>
      <c r="C1132" s="211"/>
      <c r="D1132" s="211"/>
      <c r="E1132" s="211"/>
      <c r="F1132" s="211"/>
      <c r="G1132" s="211"/>
      <c r="H1132" s="211"/>
      <c r="I1132" s="211"/>
      <c r="J1132" s="211"/>
      <c r="K1132" s="211"/>
      <c r="L1132" s="211"/>
      <c r="M1132" s="211"/>
      <c r="N1132" s="211"/>
    </row>
    <row r="1133" spans="1:14">
      <c r="A1133" s="211"/>
      <c r="B1133" s="211"/>
      <c r="C1133" s="211"/>
      <c r="D1133" s="211"/>
      <c r="E1133" s="211"/>
      <c r="F1133" s="211"/>
      <c r="G1133" s="211"/>
      <c r="H1133" s="211"/>
      <c r="I1133" s="211"/>
      <c r="J1133" s="211"/>
      <c r="K1133" s="211"/>
      <c r="L1133" s="211"/>
      <c r="M1133" s="211"/>
      <c r="N1133" s="211"/>
    </row>
    <row r="1134" spans="1:14">
      <c r="A1134" s="211"/>
      <c r="B1134" s="211"/>
      <c r="C1134" s="211"/>
      <c r="D1134" s="211"/>
      <c r="E1134" s="211"/>
      <c r="F1134" s="211"/>
      <c r="G1134" s="211"/>
      <c r="H1134" s="211"/>
      <c r="I1134" s="211"/>
      <c r="J1134" s="211"/>
      <c r="K1134" s="211"/>
      <c r="L1134" s="211"/>
      <c r="M1134" s="211"/>
      <c r="N1134" s="211"/>
    </row>
    <row r="1135" spans="1:14">
      <c r="A1135" s="211"/>
      <c r="B1135" s="211"/>
      <c r="C1135" s="211"/>
      <c r="D1135" s="211"/>
      <c r="E1135" s="211"/>
      <c r="F1135" s="211"/>
      <c r="G1135" s="211"/>
      <c r="H1135" s="211"/>
      <c r="I1135" s="211"/>
      <c r="J1135" s="211"/>
      <c r="K1135" s="211"/>
      <c r="L1135" s="211"/>
      <c r="M1135" s="211"/>
      <c r="N1135" s="211"/>
    </row>
    <row r="1136" spans="1:14">
      <c r="A1136" s="211"/>
      <c r="B1136" s="211"/>
      <c r="C1136" s="211"/>
      <c r="D1136" s="211"/>
      <c r="E1136" s="211"/>
      <c r="F1136" s="211"/>
      <c r="G1136" s="211"/>
      <c r="H1136" s="211"/>
      <c r="I1136" s="211"/>
      <c r="J1136" s="211"/>
      <c r="K1136" s="211"/>
      <c r="L1136" s="211"/>
      <c r="M1136" s="211"/>
      <c r="N1136" s="211"/>
    </row>
    <row r="1137" spans="1:14">
      <c r="A1137" s="211"/>
      <c r="B1137" s="211"/>
      <c r="C1137" s="211"/>
      <c r="D1137" s="211"/>
      <c r="E1137" s="211"/>
      <c r="F1137" s="211"/>
      <c r="G1137" s="211"/>
      <c r="H1137" s="211"/>
      <c r="I1137" s="211"/>
      <c r="J1137" s="211"/>
      <c r="K1137" s="211"/>
      <c r="L1137" s="211"/>
      <c r="M1137" s="211"/>
      <c r="N1137" s="211"/>
    </row>
    <row r="1138" spans="1:14">
      <c r="A1138" s="211"/>
      <c r="B1138" s="211"/>
      <c r="C1138" s="211"/>
      <c r="D1138" s="211"/>
      <c r="E1138" s="211"/>
      <c r="F1138" s="211"/>
      <c r="G1138" s="211"/>
      <c r="H1138" s="211"/>
      <c r="I1138" s="211"/>
      <c r="J1138" s="211"/>
      <c r="K1138" s="211"/>
      <c r="L1138" s="211"/>
      <c r="M1138" s="211"/>
      <c r="N1138" s="211"/>
    </row>
    <row r="1139" spans="1:14">
      <c r="A1139" s="211"/>
      <c r="B1139" s="211"/>
      <c r="C1139" s="211"/>
      <c r="D1139" s="211"/>
      <c r="E1139" s="211"/>
      <c r="F1139" s="211"/>
      <c r="G1139" s="211"/>
      <c r="H1139" s="211"/>
      <c r="I1139" s="211"/>
      <c r="J1139" s="211"/>
      <c r="K1139" s="211"/>
      <c r="L1139" s="211"/>
      <c r="M1139" s="211"/>
      <c r="N1139" s="211"/>
    </row>
    <row r="1140" spans="1:14">
      <c r="A1140" s="211"/>
      <c r="B1140" s="211"/>
      <c r="C1140" s="211"/>
      <c r="D1140" s="211"/>
      <c r="E1140" s="211"/>
      <c r="F1140" s="211"/>
      <c r="G1140" s="211"/>
      <c r="H1140" s="211"/>
      <c r="I1140" s="211"/>
      <c r="J1140" s="211"/>
      <c r="K1140" s="211"/>
      <c r="L1140" s="211"/>
      <c r="M1140" s="211"/>
      <c r="N1140" s="211"/>
    </row>
    <row r="1141" spans="1:14">
      <c r="A1141" s="211"/>
      <c r="B1141" s="211"/>
      <c r="C1141" s="211"/>
      <c r="D1141" s="211"/>
      <c r="E1141" s="211"/>
      <c r="F1141" s="211"/>
      <c r="G1141" s="211"/>
      <c r="H1141" s="211"/>
      <c r="I1141" s="211"/>
      <c r="J1141" s="211"/>
      <c r="K1141" s="211"/>
      <c r="L1141" s="211"/>
      <c r="M1141" s="211"/>
      <c r="N1141" s="211"/>
    </row>
    <row r="1142" spans="1:14">
      <c r="A1142" s="211"/>
      <c r="B1142" s="211"/>
      <c r="C1142" s="211"/>
      <c r="D1142" s="211"/>
      <c r="E1142" s="211"/>
      <c r="F1142" s="211"/>
      <c r="G1142" s="211"/>
      <c r="H1142" s="211"/>
      <c r="I1142" s="211"/>
      <c r="J1142" s="211"/>
      <c r="K1142" s="211"/>
      <c r="L1142" s="211"/>
      <c r="M1142" s="211"/>
      <c r="N1142" s="211"/>
    </row>
    <row r="1143" spans="1:14">
      <c r="A1143" s="211"/>
      <c r="B1143" s="211"/>
      <c r="C1143" s="211"/>
      <c r="D1143" s="211"/>
      <c r="E1143" s="211"/>
      <c r="F1143" s="211"/>
      <c r="G1143" s="211"/>
      <c r="H1143" s="211"/>
      <c r="I1143" s="211"/>
      <c r="J1143" s="211"/>
      <c r="K1143" s="211"/>
      <c r="L1143" s="211"/>
      <c r="M1143" s="211"/>
      <c r="N1143" s="211"/>
    </row>
    <row r="1144" spans="1:14">
      <c r="A1144" s="211"/>
      <c r="B1144" s="211"/>
      <c r="C1144" s="211"/>
      <c r="D1144" s="211"/>
      <c r="E1144" s="211"/>
      <c r="F1144" s="211"/>
      <c r="G1144" s="211"/>
      <c r="H1144" s="211"/>
      <c r="I1144" s="211"/>
      <c r="J1144" s="211"/>
      <c r="K1144" s="211"/>
      <c r="L1144" s="211"/>
      <c r="M1144" s="211"/>
      <c r="N1144" s="211"/>
    </row>
    <row r="1145" spans="1:14">
      <c r="A1145" s="211"/>
      <c r="B1145" s="211"/>
      <c r="C1145" s="211"/>
      <c r="D1145" s="211"/>
      <c r="E1145" s="211"/>
      <c r="F1145" s="211"/>
      <c r="G1145" s="211"/>
      <c r="H1145" s="211"/>
      <c r="I1145" s="211"/>
      <c r="J1145" s="211"/>
      <c r="K1145" s="211"/>
      <c r="L1145" s="211"/>
      <c r="M1145" s="211"/>
      <c r="N1145" s="211"/>
    </row>
    <row r="1146" spans="1:14">
      <c r="A1146" s="211"/>
      <c r="B1146" s="211"/>
      <c r="C1146" s="211"/>
      <c r="D1146" s="211"/>
      <c r="E1146" s="211"/>
      <c r="F1146" s="211"/>
      <c r="G1146" s="211"/>
      <c r="H1146" s="211"/>
      <c r="I1146" s="211"/>
      <c r="J1146" s="211"/>
      <c r="K1146" s="211"/>
      <c r="L1146" s="211"/>
      <c r="M1146" s="211"/>
      <c r="N1146" s="211"/>
    </row>
    <row r="1147" spans="1:14">
      <c r="A1147" s="211"/>
      <c r="B1147" s="211"/>
      <c r="C1147" s="211"/>
      <c r="D1147" s="211"/>
      <c r="E1147" s="211"/>
      <c r="F1147" s="211"/>
      <c r="G1147" s="211"/>
      <c r="H1147" s="211"/>
      <c r="I1147" s="211"/>
      <c r="J1147" s="211"/>
      <c r="K1147" s="211"/>
      <c r="L1147" s="211"/>
      <c r="M1147" s="211"/>
      <c r="N1147" s="211"/>
    </row>
    <row r="1148" spans="1:14">
      <c r="A1148" s="211"/>
      <c r="B1148" s="211"/>
      <c r="C1148" s="211"/>
      <c r="D1148" s="211"/>
      <c r="E1148" s="211"/>
      <c r="F1148" s="211"/>
      <c r="G1148" s="211"/>
      <c r="H1148" s="211"/>
      <c r="I1148" s="211"/>
      <c r="J1148" s="211"/>
      <c r="K1148" s="211"/>
      <c r="L1148" s="211"/>
      <c r="M1148" s="211"/>
      <c r="N1148" s="211"/>
    </row>
    <row r="1149" spans="1:14">
      <c r="A1149" s="211"/>
      <c r="B1149" s="211"/>
      <c r="C1149" s="211"/>
      <c r="D1149" s="211"/>
      <c r="E1149" s="211"/>
      <c r="F1149" s="211"/>
      <c r="G1149" s="211"/>
      <c r="H1149" s="211"/>
      <c r="I1149" s="211"/>
      <c r="J1149" s="211"/>
      <c r="K1149" s="211"/>
      <c r="L1149" s="211"/>
      <c r="M1149" s="211"/>
      <c r="N1149" s="211"/>
    </row>
    <row r="1150" spans="1:14">
      <c r="A1150" s="211"/>
      <c r="B1150" s="211"/>
      <c r="C1150" s="211"/>
      <c r="D1150" s="211"/>
      <c r="E1150" s="211"/>
      <c r="F1150" s="211"/>
      <c r="G1150" s="211"/>
      <c r="H1150" s="211"/>
      <c r="I1150" s="211"/>
      <c r="J1150" s="211"/>
      <c r="K1150" s="211"/>
      <c r="L1150" s="211"/>
      <c r="M1150" s="211"/>
      <c r="N1150" s="211"/>
    </row>
    <row r="1151" spans="1:14">
      <c r="A1151" s="211"/>
      <c r="B1151" s="211"/>
      <c r="C1151" s="211"/>
      <c r="D1151" s="211"/>
      <c r="E1151" s="211"/>
      <c r="F1151" s="211"/>
      <c r="G1151" s="211"/>
      <c r="H1151" s="211"/>
      <c r="I1151" s="211"/>
      <c r="J1151" s="211"/>
      <c r="K1151" s="211"/>
      <c r="L1151" s="211"/>
      <c r="M1151" s="211"/>
      <c r="N1151" s="211"/>
    </row>
    <row r="1152" spans="1:14">
      <c r="A1152" s="211"/>
      <c r="B1152" s="211"/>
      <c r="C1152" s="211"/>
      <c r="D1152" s="211"/>
      <c r="E1152" s="211"/>
      <c r="F1152" s="211"/>
      <c r="G1152" s="211"/>
      <c r="H1152" s="211"/>
      <c r="I1152" s="211"/>
      <c r="J1152" s="211"/>
      <c r="K1152" s="211"/>
      <c r="L1152" s="211"/>
      <c r="M1152" s="211"/>
      <c r="N1152" s="211"/>
    </row>
    <row r="1153" spans="1:14">
      <c r="A1153" s="211"/>
      <c r="B1153" s="211"/>
      <c r="C1153" s="211"/>
      <c r="D1153" s="211"/>
      <c r="E1153" s="211"/>
      <c r="F1153" s="211"/>
      <c r="G1153" s="211"/>
      <c r="H1153" s="211"/>
      <c r="I1153" s="211"/>
      <c r="J1153" s="211"/>
      <c r="K1153" s="211"/>
      <c r="L1153" s="211"/>
      <c r="M1153" s="211"/>
      <c r="N1153" s="211"/>
    </row>
    <row r="1154" spans="1:14">
      <c r="A1154" s="211"/>
      <c r="B1154" s="211"/>
      <c r="C1154" s="211"/>
      <c r="D1154" s="211"/>
      <c r="E1154" s="211"/>
      <c r="F1154" s="211"/>
      <c r="G1154" s="211"/>
      <c r="H1154" s="211"/>
      <c r="I1154" s="211"/>
      <c r="J1154" s="211"/>
      <c r="K1154" s="211"/>
      <c r="L1154" s="211"/>
      <c r="M1154" s="211"/>
      <c r="N1154" s="211"/>
    </row>
    <row r="1155" spans="1:14">
      <c r="A1155" s="211"/>
      <c r="B1155" s="211"/>
      <c r="C1155" s="211"/>
      <c r="D1155" s="211"/>
      <c r="E1155" s="211"/>
      <c r="F1155" s="211"/>
      <c r="G1155" s="211"/>
      <c r="H1155" s="211"/>
      <c r="I1155" s="211"/>
      <c r="J1155" s="211"/>
      <c r="K1155" s="211"/>
      <c r="L1155" s="211"/>
      <c r="M1155" s="211"/>
      <c r="N1155" s="211"/>
    </row>
    <row r="1156" spans="1:14">
      <c r="A1156" s="211"/>
      <c r="B1156" s="211"/>
      <c r="C1156" s="211"/>
      <c r="D1156" s="211"/>
      <c r="E1156" s="211"/>
      <c r="F1156" s="211"/>
      <c r="G1156" s="211"/>
      <c r="H1156" s="211"/>
      <c r="I1156" s="211"/>
      <c r="J1156" s="211"/>
      <c r="K1156" s="211"/>
      <c r="L1156" s="211"/>
      <c r="M1156" s="211"/>
      <c r="N1156" s="211"/>
    </row>
    <row r="1157" spans="1:14">
      <c r="A1157" s="211"/>
      <c r="B1157" s="211"/>
      <c r="C1157" s="211"/>
      <c r="D1157" s="211"/>
      <c r="E1157" s="211"/>
      <c r="F1157" s="211"/>
      <c r="G1157" s="211"/>
      <c r="H1157" s="211"/>
      <c r="I1157" s="211"/>
      <c r="J1157" s="211"/>
      <c r="K1157" s="211"/>
      <c r="L1157" s="211"/>
      <c r="M1157" s="211"/>
      <c r="N1157" s="211"/>
    </row>
    <row r="1158" spans="1:14">
      <c r="A1158" s="211"/>
      <c r="B1158" s="211"/>
      <c r="C1158" s="211"/>
      <c r="D1158" s="211"/>
      <c r="E1158" s="211"/>
      <c r="F1158" s="211"/>
      <c r="G1158" s="211"/>
      <c r="H1158" s="211"/>
      <c r="I1158" s="211"/>
      <c r="J1158" s="211"/>
      <c r="K1158" s="211"/>
      <c r="L1158" s="211"/>
      <c r="M1158" s="211"/>
      <c r="N1158" s="211"/>
    </row>
    <row r="1159" spans="1:14">
      <c r="A1159" s="211"/>
      <c r="B1159" s="211"/>
      <c r="C1159" s="211"/>
      <c r="D1159" s="211"/>
      <c r="E1159" s="211"/>
      <c r="F1159" s="211"/>
      <c r="G1159" s="211"/>
      <c r="H1159" s="211"/>
      <c r="I1159" s="211"/>
      <c r="J1159" s="211"/>
      <c r="K1159" s="211"/>
      <c r="L1159" s="211"/>
      <c r="M1159" s="211"/>
      <c r="N1159" s="211"/>
    </row>
    <row r="1160" spans="1:14">
      <c r="A1160" s="211"/>
      <c r="B1160" s="211"/>
      <c r="C1160" s="211"/>
      <c r="D1160" s="211"/>
      <c r="E1160" s="211"/>
      <c r="F1160" s="211"/>
      <c r="G1160" s="211"/>
      <c r="H1160" s="211"/>
      <c r="I1160" s="211"/>
      <c r="J1160" s="211"/>
      <c r="K1160" s="211"/>
      <c r="L1160" s="211"/>
      <c r="M1160" s="211"/>
      <c r="N1160" s="211"/>
    </row>
    <row r="1161" spans="1:14">
      <c r="A1161" s="211"/>
      <c r="B1161" s="211"/>
      <c r="C1161" s="211"/>
      <c r="D1161" s="211"/>
      <c r="E1161" s="211"/>
      <c r="F1161" s="211"/>
      <c r="G1161" s="211"/>
      <c r="H1161" s="211"/>
      <c r="I1161" s="211"/>
      <c r="J1161" s="211"/>
      <c r="K1161" s="211"/>
      <c r="L1161" s="211"/>
      <c r="M1161" s="211"/>
      <c r="N1161" s="211"/>
    </row>
    <row r="1162" spans="1:14">
      <c r="A1162" s="211"/>
      <c r="B1162" s="211"/>
      <c r="C1162" s="211"/>
      <c r="D1162" s="211"/>
      <c r="E1162" s="211"/>
      <c r="F1162" s="211"/>
      <c r="G1162" s="211"/>
      <c r="H1162" s="211"/>
      <c r="I1162" s="211"/>
      <c r="J1162" s="211"/>
      <c r="K1162" s="211"/>
      <c r="L1162" s="211"/>
      <c r="M1162" s="211"/>
      <c r="N1162" s="211"/>
    </row>
    <row r="1163" spans="1:14">
      <c r="A1163" s="211"/>
      <c r="B1163" s="211"/>
      <c r="C1163" s="211"/>
      <c r="D1163" s="211"/>
      <c r="E1163" s="211"/>
      <c r="F1163" s="211"/>
      <c r="G1163" s="211"/>
      <c r="H1163" s="211"/>
      <c r="I1163" s="211"/>
      <c r="J1163" s="211"/>
      <c r="K1163" s="211"/>
      <c r="L1163" s="211"/>
      <c r="M1163" s="211"/>
      <c r="N1163" s="211"/>
    </row>
    <row r="1164" spans="1:14">
      <c r="A1164" s="211"/>
      <c r="B1164" s="211"/>
      <c r="C1164" s="211"/>
      <c r="D1164" s="211"/>
      <c r="E1164" s="211"/>
      <c r="F1164" s="211"/>
      <c r="G1164" s="211"/>
      <c r="H1164" s="211"/>
      <c r="I1164" s="211"/>
      <c r="J1164" s="211"/>
      <c r="K1164" s="211"/>
      <c r="L1164" s="211"/>
      <c r="M1164" s="211"/>
      <c r="N1164" s="211"/>
    </row>
    <row r="1165" spans="1:14">
      <c r="A1165" s="211"/>
      <c r="B1165" s="211"/>
      <c r="C1165" s="211"/>
      <c r="D1165" s="211"/>
      <c r="E1165" s="211"/>
      <c r="F1165" s="211"/>
      <c r="G1165" s="211"/>
      <c r="H1165" s="211"/>
      <c r="I1165" s="211"/>
      <c r="J1165" s="211"/>
      <c r="K1165" s="211"/>
      <c r="L1165" s="211"/>
      <c r="M1165" s="211"/>
      <c r="N1165" s="211"/>
    </row>
    <row r="1166" spans="1:14">
      <c r="A1166" s="211"/>
      <c r="B1166" s="211"/>
      <c r="C1166" s="211"/>
      <c r="D1166" s="211"/>
      <c r="E1166" s="211"/>
      <c r="F1166" s="211"/>
      <c r="G1166" s="211"/>
      <c r="H1166" s="211"/>
      <c r="I1166" s="211"/>
      <c r="J1166" s="211"/>
      <c r="K1166" s="211"/>
      <c r="L1166" s="211"/>
      <c r="M1166" s="211"/>
      <c r="N1166" s="211"/>
    </row>
    <row r="1167" spans="1:14">
      <c r="A1167" s="211"/>
      <c r="B1167" s="211"/>
      <c r="C1167" s="211"/>
      <c r="D1167" s="211"/>
      <c r="E1167" s="211"/>
      <c r="F1167" s="211"/>
      <c r="G1167" s="211"/>
      <c r="H1167" s="211"/>
      <c r="I1167" s="211"/>
      <c r="J1167" s="211"/>
      <c r="K1167" s="211"/>
      <c r="L1167" s="211"/>
      <c r="M1167" s="211"/>
      <c r="N1167" s="211"/>
    </row>
    <row r="1168" spans="1:14">
      <c r="A1168" s="211"/>
      <c r="B1168" s="211"/>
      <c r="C1168" s="211"/>
      <c r="D1168" s="211"/>
      <c r="E1168" s="211"/>
      <c r="F1168" s="211"/>
      <c r="G1168" s="211"/>
      <c r="H1168" s="211"/>
      <c r="I1168" s="211"/>
      <c r="J1168" s="211"/>
      <c r="K1168" s="211"/>
      <c r="L1168" s="211"/>
      <c r="M1168" s="211"/>
      <c r="N1168" s="211"/>
    </row>
    <row r="1169" spans="1:14">
      <c r="A1169" s="211"/>
      <c r="B1169" s="211"/>
      <c r="C1169" s="211"/>
      <c r="D1169" s="211"/>
      <c r="E1169" s="211"/>
      <c r="F1169" s="211"/>
      <c r="G1169" s="211"/>
      <c r="H1169" s="211"/>
      <c r="I1169" s="211"/>
      <c r="J1169" s="211"/>
      <c r="K1169" s="211"/>
      <c r="L1169" s="211"/>
      <c r="M1169" s="211"/>
      <c r="N1169" s="211"/>
    </row>
    <row r="1170" spans="1:14">
      <c r="A1170" s="211"/>
      <c r="B1170" s="211"/>
      <c r="C1170" s="211"/>
      <c r="D1170" s="211"/>
      <c r="E1170" s="211"/>
      <c r="F1170" s="211"/>
      <c r="G1170" s="211"/>
      <c r="H1170" s="211"/>
      <c r="I1170" s="211"/>
      <c r="J1170" s="211"/>
      <c r="K1170" s="211"/>
      <c r="L1170" s="211"/>
      <c r="M1170" s="211"/>
      <c r="N1170" s="211"/>
    </row>
    <row r="1171" spans="1:14">
      <c r="A1171" s="211"/>
      <c r="B1171" s="211"/>
      <c r="C1171" s="211"/>
      <c r="D1171" s="211"/>
      <c r="E1171" s="211"/>
      <c r="F1171" s="211"/>
      <c r="G1171" s="211"/>
      <c r="H1171" s="211"/>
      <c r="I1171" s="211"/>
      <c r="J1171" s="211"/>
      <c r="K1171" s="211"/>
      <c r="L1171" s="211"/>
      <c r="M1171" s="211"/>
      <c r="N1171" s="211"/>
    </row>
    <row r="1172" spans="1:14">
      <c r="A1172" s="211"/>
      <c r="B1172" s="211"/>
      <c r="C1172" s="211"/>
      <c r="D1172" s="211"/>
      <c r="E1172" s="211"/>
      <c r="F1172" s="211"/>
      <c r="G1172" s="211"/>
      <c r="H1172" s="211"/>
      <c r="I1172" s="211"/>
      <c r="J1172" s="211"/>
      <c r="K1172" s="211"/>
      <c r="L1172" s="211"/>
      <c r="M1172" s="211"/>
      <c r="N1172" s="211"/>
    </row>
    <row r="1173" spans="1:14">
      <c r="A1173" s="211"/>
      <c r="B1173" s="211"/>
      <c r="C1173" s="211"/>
      <c r="D1173" s="211"/>
      <c r="E1173" s="211"/>
      <c r="F1173" s="211"/>
      <c r="G1173" s="211"/>
      <c r="H1173" s="211"/>
      <c r="I1173" s="211"/>
      <c r="J1173" s="211"/>
      <c r="K1173" s="211"/>
      <c r="L1173" s="211"/>
      <c r="M1173" s="211"/>
      <c r="N1173" s="211"/>
    </row>
    <row r="1174" spans="1:14">
      <c r="A1174" s="211"/>
      <c r="B1174" s="211"/>
      <c r="C1174" s="211"/>
      <c r="D1174" s="211"/>
      <c r="E1174" s="211"/>
      <c r="F1174" s="211"/>
      <c r="G1174" s="211"/>
      <c r="H1174" s="211"/>
      <c r="I1174" s="211"/>
      <c r="J1174" s="211"/>
      <c r="K1174" s="211"/>
      <c r="L1174" s="211"/>
      <c r="M1174" s="211"/>
      <c r="N1174" s="211"/>
    </row>
    <row r="1175" spans="1:14">
      <c r="A1175" s="211"/>
      <c r="B1175" s="211"/>
      <c r="C1175" s="211"/>
      <c r="D1175" s="211"/>
      <c r="E1175" s="211"/>
      <c r="F1175" s="211"/>
      <c r="G1175" s="211"/>
      <c r="H1175" s="211"/>
      <c r="I1175" s="211"/>
      <c r="J1175" s="211"/>
      <c r="K1175" s="211"/>
      <c r="L1175" s="211"/>
      <c r="M1175" s="211"/>
      <c r="N1175" s="211"/>
    </row>
    <row r="1176" spans="1:14">
      <c r="A1176" s="211"/>
      <c r="B1176" s="211"/>
      <c r="C1176" s="211"/>
      <c r="D1176" s="211"/>
      <c r="E1176" s="211"/>
      <c r="F1176" s="211"/>
      <c r="G1176" s="211"/>
      <c r="H1176" s="211"/>
      <c r="I1176" s="211"/>
      <c r="J1176" s="211"/>
      <c r="K1176" s="211"/>
      <c r="L1176" s="211"/>
      <c r="M1176" s="211"/>
      <c r="N1176" s="211"/>
    </row>
    <row r="1177" spans="1:14">
      <c r="A1177" s="211"/>
      <c r="B1177" s="211"/>
      <c r="C1177" s="211"/>
      <c r="D1177" s="211"/>
      <c r="E1177" s="211"/>
      <c r="F1177" s="211"/>
      <c r="G1177" s="211"/>
      <c r="H1177" s="211"/>
      <c r="I1177" s="211"/>
      <c r="J1177" s="211"/>
      <c r="K1177" s="211"/>
      <c r="L1177" s="211"/>
      <c r="M1177" s="211"/>
      <c r="N1177" s="211"/>
    </row>
    <row r="1178" spans="1:14">
      <c r="A1178" s="211"/>
      <c r="B1178" s="211"/>
      <c r="C1178" s="211"/>
      <c r="D1178" s="211"/>
      <c r="E1178" s="211"/>
      <c r="F1178" s="211"/>
      <c r="G1178" s="211"/>
      <c r="H1178" s="211"/>
      <c r="I1178" s="211"/>
      <c r="J1178" s="211"/>
      <c r="K1178" s="211"/>
      <c r="L1178" s="211"/>
      <c r="M1178" s="211"/>
      <c r="N1178" s="211"/>
    </row>
    <row r="1179" spans="1:14">
      <c r="A1179" s="211"/>
      <c r="B1179" s="211"/>
      <c r="C1179" s="211"/>
      <c r="D1179" s="211"/>
      <c r="E1179" s="211"/>
      <c r="F1179" s="211"/>
      <c r="G1179" s="211"/>
      <c r="H1179" s="211"/>
      <c r="I1179" s="211"/>
      <c r="J1179" s="211"/>
      <c r="K1179" s="211"/>
      <c r="L1179" s="211"/>
      <c r="M1179" s="211"/>
      <c r="N1179" s="211"/>
    </row>
    <row r="1180" spans="1:14">
      <c r="A1180" s="211"/>
      <c r="B1180" s="211"/>
      <c r="C1180" s="211"/>
      <c r="D1180" s="211"/>
      <c r="E1180" s="211"/>
      <c r="F1180" s="211"/>
      <c r="G1180" s="211"/>
      <c r="H1180" s="211"/>
      <c r="I1180" s="211"/>
      <c r="J1180" s="211"/>
      <c r="K1180" s="211"/>
      <c r="L1180" s="211"/>
      <c r="M1180" s="211"/>
      <c r="N1180" s="211"/>
    </row>
    <row r="1181" spans="1:14">
      <c r="A1181" s="211"/>
      <c r="B1181" s="211"/>
      <c r="C1181" s="211"/>
      <c r="D1181" s="211"/>
      <c r="E1181" s="211"/>
      <c r="F1181" s="211"/>
      <c r="G1181" s="211"/>
      <c r="H1181" s="211"/>
      <c r="I1181" s="211"/>
      <c r="J1181" s="211"/>
      <c r="K1181" s="211"/>
      <c r="L1181" s="211"/>
      <c r="M1181" s="211"/>
      <c r="N1181" s="211"/>
    </row>
    <row r="1182" spans="1:14">
      <c r="A1182" s="211"/>
      <c r="B1182" s="211"/>
      <c r="C1182" s="211"/>
      <c r="D1182" s="211"/>
      <c r="E1182" s="211"/>
      <c r="F1182" s="211"/>
      <c r="G1182" s="211"/>
      <c r="H1182" s="211"/>
      <c r="I1182" s="211"/>
      <c r="J1182" s="211"/>
      <c r="K1182" s="211"/>
      <c r="L1182" s="211"/>
      <c r="M1182" s="211"/>
      <c r="N1182" s="211"/>
    </row>
    <row r="1183" spans="1:14">
      <c r="A1183" s="211"/>
      <c r="B1183" s="211"/>
      <c r="C1183" s="211"/>
      <c r="D1183" s="211"/>
      <c r="E1183" s="211"/>
      <c r="F1183" s="211"/>
      <c r="G1183" s="211"/>
      <c r="H1183" s="211"/>
      <c r="I1183" s="211"/>
      <c r="J1183" s="211"/>
      <c r="K1183" s="211"/>
      <c r="L1183" s="211"/>
      <c r="M1183" s="211"/>
      <c r="N1183" s="211"/>
    </row>
    <row r="1184" spans="1:14">
      <c r="A1184" s="211"/>
      <c r="B1184" s="211"/>
      <c r="C1184" s="211"/>
      <c r="D1184" s="211"/>
      <c r="E1184" s="211"/>
      <c r="F1184" s="211"/>
      <c r="G1184" s="211"/>
      <c r="H1184" s="211"/>
      <c r="I1184" s="211"/>
      <c r="J1184" s="211"/>
      <c r="K1184" s="211"/>
      <c r="L1184" s="211"/>
      <c r="M1184" s="211"/>
      <c r="N1184" s="211"/>
    </row>
    <row r="1185" spans="1:14">
      <c r="A1185" s="211"/>
      <c r="B1185" s="211"/>
      <c r="C1185" s="211"/>
      <c r="D1185" s="211"/>
      <c r="E1185" s="211"/>
      <c r="F1185" s="211"/>
      <c r="G1185" s="211"/>
      <c r="H1185" s="211"/>
      <c r="I1185" s="211"/>
      <c r="J1185" s="211"/>
      <c r="K1185" s="211"/>
      <c r="L1185" s="211"/>
      <c r="M1185" s="211"/>
      <c r="N1185" s="211"/>
    </row>
    <row r="1186" spans="1:14">
      <c r="A1186" s="211"/>
      <c r="B1186" s="211"/>
      <c r="C1186" s="211"/>
      <c r="D1186" s="211"/>
      <c r="E1186" s="211"/>
      <c r="F1186" s="211"/>
      <c r="G1186" s="211"/>
      <c r="H1186" s="211"/>
      <c r="I1186" s="211"/>
      <c r="J1186" s="211"/>
      <c r="K1186" s="211"/>
      <c r="L1186" s="211"/>
      <c r="M1186" s="211"/>
      <c r="N1186" s="211"/>
    </row>
    <row r="1187" spans="1:14">
      <c r="A1187" s="211"/>
      <c r="B1187" s="211"/>
      <c r="C1187" s="211"/>
      <c r="D1187" s="211"/>
      <c r="E1187" s="211"/>
      <c r="F1187" s="211"/>
      <c r="G1187" s="211"/>
      <c r="H1187" s="211"/>
      <c r="I1187" s="211"/>
      <c r="J1187" s="211"/>
      <c r="K1187" s="211"/>
      <c r="L1187" s="211"/>
      <c r="M1187" s="211"/>
      <c r="N1187" s="211"/>
    </row>
    <row r="1188" spans="1:14">
      <c r="A1188" s="211"/>
      <c r="B1188" s="211"/>
      <c r="C1188" s="211"/>
      <c r="D1188" s="211"/>
      <c r="E1188" s="211"/>
      <c r="F1188" s="211"/>
      <c r="G1188" s="211"/>
      <c r="H1188" s="211"/>
      <c r="I1188" s="211"/>
      <c r="J1188" s="211"/>
      <c r="K1188" s="211"/>
      <c r="L1188" s="211"/>
      <c r="M1188" s="211"/>
      <c r="N1188" s="211"/>
    </row>
    <row r="1189" spans="1:14">
      <c r="A1189" s="211"/>
      <c r="B1189" s="211"/>
      <c r="C1189" s="211"/>
      <c r="D1189" s="211"/>
      <c r="E1189" s="211"/>
      <c r="F1189" s="211"/>
      <c r="G1189" s="211"/>
      <c r="H1189" s="211"/>
      <c r="I1189" s="211"/>
      <c r="J1189" s="211"/>
      <c r="K1189" s="211"/>
      <c r="L1189" s="211"/>
      <c r="M1189" s="211"/>
      <c r="N1189" s="211"/>
    </row>
    <row r="1190" spans="1:14">
      <c r="A1190" s="211"/>
      <c r="B1190" s="211"/>
      <c r="C1190" s="211"/>
      <c r="D1190" s="211"/>
      <c r="E1190" s="211"/>
      <c r="F1190" s="211"/>
      <c r="G1190" s="211"/>
      <c r="H1190" s="211"/>
      <c r="I1190" s="211"/>
      <c r="J1190" s="211"/>
      <c r="K1190" s="211"/>
      <c r="L1190" s="211"/>
      <c r="M1190" s="211"/>
      <c r="N1190" s="211"/>
    </row>
    <row r="1191" spans="1:14">
      <c r="A1191" s="211"/>
      <c r="B1191" s="211"/>
      <c r="C1191" s="211"/>
      <c r="D1191" s="211"/>
      <c r="E1191" s="211"/>
      <c r="F1191" s="211"/>
      <c r="G1191" s="211"/>
      <c r="H1191" s="211"/>
      <c r="I1191" s="211"/>
      <c r="J1191" s="211"/>
      <c r="K1191" s="211"/>
      <c r="L1191" s="211"/>
      <c r="M1191" s="211"/>
      <c r="N1191" s="211"/>
    </row>
    <row r="1192" spans="1:14">
      <c r="A1192" s="211"/>
      <c r="B1192" s="211"/>
      <c r="C1192" s="211"/>
      <c r="D1192" s="211"/>
      <c r="E1192" s="211"/>
      <c r="F1192" s="211"/>
      <c r="G1192" s="211"/>
      <c r="H1192" s="211"/>
      <c r="I1192" s="211"/>
      <c r="J1192" s="211"/>
      <c r="K1192" s="211"/>
      <c r="L1192" s="211"/>
      <c r="M1192" s="211"/>
      <c r="N1192" s="211"/>
    </row>
    <row r="1193" spans="1:14">
      <c r="A1193" s="211"/>
      <c r="B1193" s="211"/>
      <c r="C1193" s="211"/>
      <c r="D1193" s="211"/>
      <c r="E1193" s="211"/>
      <c r="F1193" s="211"/>
      <c r="G1193" s="211"/>
      <c r="H1193" s="211"/>
      <c r="I1193" s="211"/>
      <c r="J1193" s="211"/>
      <c r="K1193" s="211"/>
      <c r="L1193" s="211"/>
      <c r="M1193" s="211"/>
      <c r="N1193" s="211"/>
    </row>
    <row r="1194" spans="1:14">
      <c r="A1194" s="211"/>
      <c r="B1194" s="211"/>
      <c r="C1194" s="211"/>
      <c r="D1194" s="211"/>
      <c r="E1194" s="211"/>
      <c r="F1194" s="211"/>
      <c r="G1194" s="211"/>
      <c r="H1194" s="211"/>
      <c r="I1194" s="211"/>
      <c r="J1194" s="211"/>
      <c r="K1194" s="211"/>
      <c r="L1194" s="211"/>
      <c r="M1194" s="211"/>
      <c r="N1194" s="211"/>
    </row>
    <row r="1195" spans="1:14">
      <c r="A1195" s="211"/>
      <c r="B1195" s="211"/>
      <c r="C1195" s="211"/>
      <c r="D1195" s="211"/>
      <c r="E1195" s="211"/>
      <c r="F1195" s="211"/>
      <c r="G1195" s="211"/>
      <c r="H1195" s="211"/>
      <c r="I1195" s="211"/>
      <c r="J1195" s="211"/>
      <c r="K1195" s="211"/>
      <c r="L1195" s="211"/>
      <c r="M1195" s="211"/>
      <c r="N1195" s="211"/>
    </row>
    <row r="1196" spans="1:14">
      <c r="A1196" s="211"/>
      <c r="B1196" s="211"/>
      <c r="C1196" s="211"/>
      <c r="D1196" s="211"/>
      <c r="E1196" s="211"/>
      <c r="F1196" s="211"/>
      <c r="G1196" s="211"/>
      <c r="H1196" s="211"/>
      <c r="I1196" s="211"/>
      <c r="J1196" s="211"/>
      <c r="K1196" s="211"/>
      <c r="L1196" s="211"/>
      <c r="M1196" s="211"/>
      <c r="N1196" s="211"/>
    </row>
    <row r="1197" spans="1:14">
      <c r="A1197" s="211"/>
      <c r="B1197" s="211"/>
      <c r="C1197" s="211"/>
      <c r="D1197" s="211"/>
      <c r="E1197" s="211"/>
      <c r="F1197" s="211"/>
      <c r="G1197" s="211"/>
      <c r="H1197" s="211"/>
      <c r="I1197" s="211"/>
      <c r="J1197" s="211"/>
      <c r="K1197" s="211"/>
      <c r="L1197" s="211"/>
      <c r="M1197" s="211"/>
      <c r="N1197" s="211"/>
    </row>
    <row r="1198" spans="1:14">
      <c r="A1198" s="211"/>
      <c r="B1198" s="211"/>
      <c r="C1198" s="211"/>
      <c r="D1198" s="211"/>
      <c r="E1198" s="211"/>
      <c r="F1198" s="211"/>
      <c r="G1198" s="211"/>
      <c r="H1198" s="211"/>
      <c r="I1198" s="211"/>
      <c r="J1198" s="211"/>
      <c r="K1198" s="211"/>
      <c r="L1198" s="211"/>
      <c r="M1198" s="211"/>
      <c r="N1198" s="211"/>
    </row>
    <row r="1199" spans="1:14">
      <c r="A1199" s="211"/>
      <c r="B1199" s="211"/>
      <c r="C1199" s="211"/>
      <c r="D1199" s="211"/>
      <c r="E1199" s="211"/>
      <c r="F1199" s="211"/>
      <c r="G1199" s="211"/>
      <c r="H1199" s="211"/>
      <c r="I1199" s="211"/>
      <c r="J1199" s="211"/>
      <c r="K1199" s="211"/>
      <c r="L1199" s="211"/>
      <c r="M1199" s="211"/>
      <c r="N1199" s="211"/>
    </row>
    <row r="1200" spans="1:14">
      <c r="A1200" s="211"/>
      <c r="B1200" s="211"/>
      <c r="C1200" s="211"/>
      <c r="D1200" s="211"/>
      <c r="E1200" s="211"/>
      <c r="F1200" s="211"/>
      <c r="G1200" s="211"/>
      <c r="H1200" s="211"/>
      <c r="I1200" s="211"/>
      <c r="J1200" s="211"/>
      <c r="K1200" s="211"/>
      <c r="L1200" s="211"/>
      <c r="M1200" s="211"/>
      <c r="N1200" s="211"/>
    </row>
    <row r="1201" spans="1:14">
      <c r="A1201" s="211"/>
      <c r="B1201" s="211"/>
      <c r="C1201" s="211"/>
      <c r="D1201" s="211"/>
      <c r="E1201" s="211"/>
      <c r="F1201" s="211"/>
      <c r="G1201" s="211"/>
      <c r="H1201" s="211"/>
      <c r="I1201" s="211"/>
      <c r="J1201" s="211"/>
      <c r="K1201" s="211"/>
      <c r="L1201" s="211"/>
      <c r="M1201" s="211"/>
      <c r="N1201" s="211"/>
    </row>
    <row r="1202" spans="1:14">
      <c r="A1202" s="211"/>
      <c r="B1202" s="211"/>
      <c r="C1202" s="211"/>
      <c r="D1202" s="211"/>
      <c r="E1202" s="211"/>
      <c r="F1202" s="211"/>
      <c r="G1202" s="211"/>
      <c r="H1202" s="211"/>
      <c r="I1202" s="211"/>
      <c r="J1202" s="211"/>
      <c r="K1202" s="211"/>
      <c r="L1202" s="211"/>
      <c r="M1202" s="211"/>
      <c r="N1202" s="211"/>
    </row>
    <row r="1203" spans="1:14">
      <c r="A1203" s="211"/>
      <c r="B1203" s="211"/>
      <c r="C1203" s="211"/>
      <c r="D1203" s="211"/>
      <c r="E1203" s="211"/>
      <c r="F1203" s="211"/>
      <c r="G1203" s="211"/>
      <c r="H1203" s="211"/>
      <c r="I1203" s="211"/>
      <c r="J1203" s="211"/>
      <c r="K1203" s="211"/>
      <c r="L1203" s="211"/>
      <c r="M1203" s="211"/>
      <c r="N1203" s="211"/>
    </row>
    <row r="1204" spans="1:14">
      <c r="A1204" s="211"/>
      <c r="B1204" s="211"/>
      <c r="C1204" s="211"/>
      <c r="D1204" s="211"/>
      <c r="E1204" s="211"/>
      <c r="F1204" s="211"/>
      <c r="G1204" s="211"/>
      <c r="H1204" s="211"/>
      <c r="I1204" s="211"/>
      <c r="J1204" s="211"/>
      <c r="K1204" s="211"/>
      <c r="L1204" s="211"/>
      <c r="M1204" s="211"/>
      <c r="N1204" s="211"/>
    </row>
    <row r="1205" spans="1:14">
      <c r="A1205" s="211"/>
      <c r="B1205" s="211"/>
      <c r="C1205" s="211"/>
      <c r="D1205" s="211"/>
      <c r="E1205" s="211"/>
      <c r="F1205" s="211"/>
      <c r="G1205" s="211"/>
      <c r="H1205" s="211"/>
      <c r="I1205" s="211"/>
      <c r="J1205" s="211"/>
      <c r="K1205" s="211"/>
      <c r="L1205" s="211"/>
      <c r="M1205" s="211"/>
      <c r="N1205" s="211"/>
    </row>
    <row r="1206" spans="1:14">
      <c r="A1206" s="211"/>
      <c r="B1206" s="211"/>
      <c r="C1206" s="211"/>
      <c r="D1206" s="211"/>
      <c r="E1206" s="211"/>
      <c r="F1206" s="211"/>
      <c r="G1206" s="211"/>
      <c r="H1206" s="211"/>
      <c r="I1206" s="211"/>
      <c r="J1206" s="211"/>
      <c r="K1206" s="211"/>
      <c r="L1206" s="211"/>
      <c r="M1206" s="211"/>
      <c r="N1206" s="211"/>
    </row>
    <row r="1207" spans="1:14">
      <c r="A1207" s="211"/>
      <c r="B1207" s="211"/>
      <c r="C1207" s="211"/>
      <c r="D1207" s="211"/>
      <c r="E1207" s="211"/>
      <c r="F1207" s="211"/>
      <c r="G1207" s="211"/>
      <c r="H1207" s="211"/>
      <c r="I1207" s="211"/>
      <c r="J1207" s="211"/>
      <c r="K1207" s="211"/>
      <c r="L1207" s="211"/>
      <c r="M1207" s="211"/>
      <c r="N1207" s="211"/>
    </row>
    <row r="1208" spans="1:14">
      <c r="A1208" s="211"/>
      <c r="B1208" s="211"/>
      <c r="C1208" s="211"/>
      <c r="D1208" s="211"/>
      <c r="E1208" s="211"/>
      <c r="F1208" s="211"/>
      <c r="G1208" s="211"/>
      <c r="H1208" s="211"/>
      <c r="I1208" s="211"/>
      <c r="J1208" s="211"/>
      <c r="K1208" s="211"/>
      <c r="L1208" s="211"/>
      <c r="M1208" s="211"/>
      <c r="N1208" s="211"/>
    </row>
    <row r="1209" spans="1:14">
      <c r="A1209" s="211"/>
      <c r="B1209" s="211"/>
      <c r="C1209" s="211"/>
      <c r="D1209" s="211"/>
      <c r="E1209" s="211"/>
      <c r="F1209" s="211"/>
      <c r="G1209" s="211"/>
      <c r="H1209" s="211"/>
      <c r="I1209" s="211"/>
      <c r="J1209" s="211"/>
      <c r="K1209" s="211"/>
      <c r="L1209" s="211"/>
      <c r="M1209" s="211"/>
      <c r="N1209" s="211"/>
    </row>
    <row r="1210" spans="1:14">
      <c r="A1210" s="211"/>
      <c r="B1210" s="211"/>
      <c r="C1210" s="211"/>
      <c r="D1210" s="211"/>
      <c r="E1210" s="211"/>
      <c r="F1210" s="211"/>
      <c r="G1210" s="211"/>
      <c r="H1210" s="211"/>
      <c r="I1210" s="211"/>
      <c r="J1210" s="211"/>
      <c r="K1210" s="211"/>
      <c r="L1210" s="211"/>
      <c r="M1210" s="211"/>
      <c r="N1210" s="211"/>
    </row>
    <row r="1211" spans="1:14">
      <c r="A1211" s="211"/>
      <c r="B1211" s="211"/>
      <c r="C1211" s="211"/>
      <c r="D1211" s="211"/>
      <c r="E1211" s="211"/>
      <c r="F1211" s="211"/>
      <c r="G1211" s="211"/>
      <c r="H1211" s="211"/>
      <c r="I1211" s="211"/>
      <c r="J1211" s="211"/>
      <c r="K1211" s="211"/>
      <c r="L1211" s="211"/>
      <c r="M1211" s="211"/>
      <c r="N1211" s="211"/>
    </row>
    <row r="1212" spans="1:14">
      <c r="A1212" s="211"/>
      <c r="B1212" s="211"/>
      <c r="C1212" s="211"/>
      <c r="D1212" s="211"/>
      <c r="E1212" s="211"/>
      <c r="F1212" s="211"/>
      <c r="G1212" s="211"/>
      <c r="H1212" s="211"/>
      <c r="I1212" s="211"/>
      <c r="J1212" s="211"/>
      <c r="K1212" s="211"/>
      <c r="L1212" s="211"/>
      <c r="M1212" s="211"/>
      <c r="N1212" s="211"/>
    </row>
    <row r="1213" spans="1:14">
      <c r="A1213" s="211"/>
      <c r="B1213" s="211"/>
      <c r="C1213" s="211"/>
      <c r="D1213" s="211"/>
      <c r="E1213" s="211"/>
      <c r="F1213" s="211"/>
      <c r="G1213" s="211"/>
      <c r="H1213" s="211"/>
      <c r="I1213" s="211"/>
      <c r="J1213" s="211"/>
      <c r="K1213" s="211"/>
      <c r="L1213" s="211"/>
      <c r="M1213" s="211"/>
      <c r="N1213" s="211"/>
    </row>
    <row r="1214" spans="1:14">
      <c r="A1214" s="211"/>
      <c r="B1214" s="211"/>
      <c r="C1214" s="211"/>
      <c r="D1214" s="211"/>
      <c r="E1214" s="211"/>
      <c r="F1214" s="211"/>
      <c r="G1214" s="211"/>
      <c r="H1214" s="211"/>
      <c r="I1214" s="211"/>
      <c r="J1214" s="211"/>
      <c r="K1214" s="211"/>
      <c r="L1214" s="211"/>
      <c r="M1214" s="211"/>
      <c r="N1214" s="211"/>
    </row>
    <row r="1215" spans="1:14">
      <c r="A1215" s="211"/>
      <c r="B1215" s="211"/>
      <c r="C1215" s="211"/>
      <c r="D1215" s="211"/>
      <c r="E1215" s="211"/>
      <c r="F1215" s="211"/>
      <c r="G1215" s="211"/>
      <c r="H1215" s="211"/>
      <c r="I1215" s="211"/>
      <c r="J1215" s="211"/>
      <c r="K1215" s="211"/>
      <c r="L1215" s="211"/>
      <c r="M1215" s="211"/>
      <c r="N1215" s="211"/>
    </row>
    <row r="1216" spans="1:14">
      <c r="A1216" s="211"/>
      <c r="B1216" s="211"/>
      <c r="C1216" s="211"/>
      <c r="D1216" s="211"/>
      <c r="E1216" s="211"/>
      <c r="F1216" s="211"/>
      <c r="G1216" s="211"/>
      <c r="H1216" s="211"/>
      <c r="I1216" s="211"/>
      <c r="J1216" s="211"/>
      <c r="K1216" s="211"/>
      <c r="L1216" s="211"/>
      <c r="M1216" s="211"/>
      <c r="N1216" s="211"/>
    </row>
    <row r="1217" spans="1:14">
      <c r="A1217" s="211"/>
      <c r="B1217" s="211"/>
      <c r="C1217" s="211"/>
      <c r="D1217" s="211"/>
      <c r="E1217" s="211"/>
      <c r="F1217" s="211"/>
      <c r="G1217" s="211"/>
      <c r="H1217" s="211"/>
      <c r="I1217" s="211"/>
      <c r="J1217" s="211"/>
      <c r="K1217" s="211"/>
      <c r="L1217" s="211"/>
      <c r="M1217" s="211"/>
      <c r="N1217" s="211"/>
    </row>
    <row r="1218" spans="1:14">
      <c r="A1218" s="211"/>
      <c r="B1218" s="211"/>
      <c r="C1218" s="211"/>
      <c r="D1218" s="211"/>
      <c r="E1218" s="211"/>
      <c r="F1218" s="211"/>
      <c r="G1218" s="211"/>
      <c r="H1218" s="211"/>
      <c r="I1218" s="211"/>
      <c r="J1218" s="211"/>
      <c r="K1218" s="211"/>
      <c r="L1218" s="211"/>
      <c r="M1218" s="211"/>
      <c r="N1218" s="211"/>
    </row>
    <row r="1219" spans="1:14">
      <c r="A1219" s="211"/>
      <c r="B1219" s="211"/>
      <c r="C1219" s="211"/>
      <c r="D1219" s="211"/>
      <c r="E1219" s="211"/>
      <c r="F1219" s="211"/>
      <c r="G1219" s="211"/>
      <c r="H1219" s="211"/>
      <c r="I1219" s="211"/>
      <c r="J1219" s="211"/>
      <c r="K1219" s="211"/>
      <c r="L1219" s="211"/>
      <c r="M1219" s="211"/>
      <c r="N1219" s="211"/>
    </row>
    <row r="1220" spans="1:14">
      <c r="A1220" s="211"/>
      <c r="B1220" s="211"/>
      <c r="C1220" s="211"/>
      <c r="D1220" s="211"/>
      <c r="E1220" s="211"/>
      <c r="F1220" s="211"/>
      <c r="G1220" s="211"/>
      <c r="H1220" s="211"/>
      <c r="I1220" s="211"/>
      <c r="J1220" s="211"/>
      <c r="K1220" s="211"/>
      <c r="L1220" s="211"/>
      <c r="M1220" s="211"/>
      <c r="N1220" s="211"/>
    </row>
    <row r="1221" spans="1:14">
      <c r="A1221" s="211"/>
      <c r="B1221" s="211"/>
      <c r="C1221" s="211"/>
      <c r="D1221" s="211"/>
      <c r="E1221" s="211"/>
      <c r="F1221" s="211"/>
      <c r="G1221" s="211"/>
      <c r="H1221" s="211"/>
      <c r="I1221" s="211"/>
      <c r="J1221" s="211"/>
      <c r="K1221" s="211"/>
      <c r="L1221" s="211"/>
      <c r="M1221" s="211"/>
      <c r="N1221" s="211"/>
    </row>
    <row r="1222" spans="1:14">
      <c r="A1222" s="211"/>
      <c r="B1222" s="211"/>
      <c r="C1222" s="211"/>
      <c r="D1222" s="211"/>
      <c r="E1222" s="211"/>
      <c r="F1222" s="211"/>
      <c r="G1222" s="211"/>
      <c r="H1222" s="211"/>
      <c r="I1222" s="211"/>
      <c r="J1222" s="211"/>
      <c r="K1222" s="211"/>
      <c r="L1222" s="211"/>
      <c r="M1222" s="211"/>
      <c r="N1222" s="211"/>
    </row>
    <row r="1223" spans="1:14">
      <c r="A1223" s="211"/>
      <c r="B1223" s="211"/>
      <c r="C1223" s="211"/>
      <c r="D1223" s="211"/>
      <c r="E1223" s="211"/>
      <c r="F1223" s="211"/>
      <c r="G1223" s="211"/>
      <c r="H1223" s="211"/>
      <c r="I1223" s="211"/>
      <c r="J1223" s="211"/>
      <c r="K1223" s="211"/>
      <c r="L1223" s="211"/>
      <c r="M1223" s="211"/>
      <c r="N1223" s="211"/>
    </row>
    <row r="1224" spans="1:14">
      <c r="A1224" s="211"/>
      <c r="B1224" s="211"/>
      <c r="C1224" s="211"/>
      <c r="D1224" s="211"/>
      <c r="E1224" s="211"/>
      <c r="F1224" s="211"/>
      <c r="G1224" s="211"/>
      <c r="H1224" s="211"/>
      <c r="I1224" s="211"/>
      <c r="J1224" s="211"/>
      <c r="K1224" s="211"/>
      <c r="L1224" s="211"/>
      <c r="M1224" s="211"/>
      <c r="N1224" s="211"/>
    </row>
    <row r="1225" spans="1:14">
      <c r="A1225" s="211"/>
      <c r="B1225" s="211"/>
      <c r="C1225" s="211"/>
      <c r="D1225" s="211"/>
      <c r="E1225" s="211"/>
      <c r="F1225" s="211"/>
      <c r="G1225" s="211"/>
      <c r="H1225" s="211"/>
      <c r="I1225" s="211"/>
      <c r="J1225" s="211"/>
      <c r="K1225" s="211"/>
      <c r="L1225" s="211"/>
      <c r="M1225" s="211"/>
      <c r="N1225" s="211"/>
    </row>
    <row r="1226" spans="1:14">
      <c r="A1226" s="211"/>
      <c r="B1226" s="211"/>
      <c r="C1226" s="211"/>
      <c r="D1226" s="211"/>
      <c r="E1226" s="211"/>
      <c r="F1226" s="211"/>
      <c r="G1226" s="211"/>
      <c r="H1226" s="211"/>
      <c r="I1226" s="211"/>
      <c r="J1226" s="211"/>
      <c r="K1226" s="211"/>
      <c r="L1226" s="211"/>
      <c r="M1226" s="211"/>
      <c r="N1226" s="211"/>
    </row>
    <row r="1227" spans="1:14">
      <c r="A1227" s="211"/>
      <c r="B1227" s="211"/>
      <c r="C1227" s="211"/>
      <c r="D1227" s="211"/>
      <c r="E1227" s="211"/>
      <c r="F1227" s="211"/>
      <c r="G1227" s="211"/>
      <c r="H1227" s="211"/>
      <c r="I1227" s="211"/>
      <c r="J1227" s="211"/>
      <c r="K1227" s="211"/>
      <c r="L1227" s="211"/>
      <c r="M1227" s="211"/>
      <c r="N1227" s="211"/>
    </row>
    <row r="1228" spans="1:14">
      <c r="A1228" s="211"/>
      <c r="B1228" s="211"/>
      <c r="C1228" s="211"/>
      <c r="D1228" s="211"/>
      <c r="E1228" s="211"/>
      <c r="F1228" s="211"/>
      <c r="G1228" s="211"/>
      <c r="H1228" s="211"/>
      <c r="I1228" s="211"/>
      <c r="J1228" s="211"/>
      <c r="K1228" s="211"/>
      <c r="L1228" s="211"/>
      <c r="M1228" s="211"/>
      <c r="N1228" s="211"/>
    </row>
    <row r="1229" spans="1:14">
      <c r="A1229" s="211"/>
      <c r="B1229" s="211"/>
      <c r="C1229" s="211"/>
      <c r="D1229" s="211"/>
      <c r="E1229" s="211"/>
      <c r="F1229" s="211"/>
      <c r="G1229" s="211"/>
      <c r="H1229" s="211"/>
      <c r="I1229" s="211"/>
      <c r="J1229" s="211"/>
      <c r="K1229" s="211"/>
      <c r="L1229" s="211"/>
      <c r="M1229" s="211"/>
      <c r="N1229" s="211"/>
    </row>
    <row r="1230" spans="1:14">
      <c r="A1230" s="211"/>
      <c r="B1230" s="211"/>
      <c r="C1230" s="211"/>
      <c r="D1230" s="211"/>
      <c r="E1230" s="211"/>
      <c r="F1230" s="211"/>
      <c r="G1230" s="211"/>
      <c r="H1230" s="211"/>
      <c r="I1230" s="211"/>
      <c r="J1230" s="211"/>
      <c r="K1230" s="211"/>
      <c r="L1230" s="211"/>
      <c r="M1230" s="211"/>
      <c r="N1230" s="211"/>
    </row>
    <row r="1231" spans="1:14">
      <c r="A1231" s="211"/>
      <c r="B1231" s="211"/>
      <c r="C1231" s="211"/>
      <c r="D1231" s="211"/>
      <c r="E1231" s="211"/>
      <c r="F1231" s="211"/>
      <c r="G1231" s="211"/>
      <c r="H1231" s="211"/>
      <c r="I1231" s="211"/>
      <c r="J1231" s="211"/>
      <c r="K1231" s="211"/>
      <c r="L1231" s="211"/>
      <c r="M1231" s="211"/>
      <c r="N1231" s="211"/>
    </row>
    <row r="1232" spans="1:14">
      <c r="A1232" s="211"/>
      <c r="B1232" s="211"/>
      <c r="C1232" s="211"/>
      <c r="D1232" s="211"/>
      <c r="E1232" s="211"/>
      <c r="F1232" s="211"/>
      <c r="G1232" s="211"/>
      <c r="H1232" s="211"/>
      <c r="I1232" s="211"/>
      <c r="J1232" s="211"/>
      <c r="K1232" s="211"/>
      <c r="L1232" s="211"/>
      <c r="M1232" s="211"/>
      <c r="N1232" s="211"/>
    </row>
    <row r="1233" spans="1:14">
      <c r="A1233" s="211"/>
      <c r="B1233" s="211"/>
      <c r="C1233" s="211"/>
      <c r="D1233" s="211"/>
      <c r="E1233" s="211"/>
      <c r="F1233" s="211"/>
      <c r="G1233" s="211"/>
      <c r="H1233" s="211"/>
      <c r="I1233" s="211"/>
      <c r="J1233" s="211"/>
      <c r="K1233" s="211"/>
      <c r="L1233" s="211"/>
      <c r="M1233" s="211"/>
      <c r="N1233" s="211"/>
    </row>
    <row r="1234" spans="1:14">
      <c r="A1234" s="211"/>
      <c r="B1234" s="211"/>
      <c r="C1234" s="211"/>
      <c r="D1234" s="211"/>
      <c r="E1234" s="211"/>
      <c r="F1234" s="211"/>
      <c r="G1234" s="211"/>
      <c r="H1234" s="211"/>
      <c r="I1234" s="211"/>
      <c r="J1234" s="211"/>
      <c r="K1234" s="211"/>
      <c r="L1234" s="211"/>
      <c r="M1234" s="211"/>
      <c r="N1234" s="211"/>
    </row>
    <row r="1235" spans="1:14">
      <c r="A1235" s="211"/>
      <c r="B1235" s="211"/>
      <c r="C1235" s="211"/>
      <c r="D1235" s="211"/>
      <c r="E1235" s="211"/>
      <c r="F1235" s="211"/>
      <c r="G1235" s="211"/>
      <c r="H1235" s="211"/>
      <c r="I1235" s="211"/>
      <c r="J1235" s="211"/>
      <c r="K1235" s="211"/>
      <c r="L1235" s="211"/>
      <c r="M1235" s="211"/>
      <c r="N1235" s="211"/>
    </row>
    <row r="1236" spans="1:14">
      <c r="A1236" s="211"/>
      <c r="B1236" s="211"/>
      <c r="C1236" s="211"/>
      <c r="D1236" s="211"/>
      <c r="E1236" s="211"/>
      <c r="F1236" s="211"/>
      <c r="G1236" s="211"/>
      <c r="H1236" s="211"/>
      <c r="I1236" s="211"/>
      <c r="J1236" s="211"/>
      <c r="K1236" s="211"/>
      <c r="L1236" s="211"/>
      <c r="M1236" s="211"/>
      <c r="N1236" s="211"/>
    </row>
    <row r="1237" spans="1:14">
      <c r="A1237" s="211"/>
      <c r="B1237" s="211"/>
      <c r="C1237" s="211"/>
      <c r="D1237" s="211"/>
      <c r="E1237" s="211"/>
      <c r="F1237" s="211"/>
      <c r="G1237" s="211"/>
      <c r="H1237" s="211"/>
      <c r="I1237" s="211"/>
      <c r="J1237" s="211"/>
      <c r="K1237" s="211"/>
      <c r="L1237" s="211"/>
      <c r="M1237" s="211"/>
      <c r="N1237" s="211"/>
    </row>
    <row r="1238" spans="1:14">
      <c r="A1238" s="211"/>
      <c r="B1238" s="211"/>
      <c r="C1238" s="211"/>
      <c r="D1238" s="211"/>
      <c r="E1238" s="211"/>
      <c r="F1238" s="211"/>
      <c r="G1238" s="211"/>
      <c r="H1238" s="211"/>
      <c r="I1238" s="211"/>
      <c r="J1238" s="211"/>
      <c r="K1238" s="211"/>
      <c r="L1238" s="211"/>
      <c r="M1238" s="211"/>
      <c r="N1238" s="211"/>
    </row>
    <row r="1239" spans="1:14">
      <c r="A1239" s="211"/>
      <c r="B1239" s="211"/>
      <c r="C1239" s="211"/>
      <c r="D1239" s="211"/>
      <c r="E1239" s="211"/>
      <c r="F1239" s="211"/>
      <c r="G1239" s="211"/>
      <c r="H1239" s="211"/>
      <c r="I1239" s="211"/>
      <c r="J1239" s="211"/>
      <c r="K1239" s="211"/>
      <c r="L1239" s="211"/>
      <c r="M1239" s="211"/>
      <c r="N1239" s="211"/>
    </row>
    <row r="1240" spans="1:14">
      <c r="A1240" s="211"/>
      <c r="B1240" s="211"/>
      <c r="C1240" s="211"/>
      <c r="D1240" s="211"/>
      <c r="E1240" s="211"/>
      <c r="F1240" s="211"/>
      <c r="G1240" s="211"/>
      <c r="H1240" s="211"/>
      <c r="I1240" s="211"/>
      <c r="J1240" s="211"/>
      <c r="K1240" s="211"/>
      <c r="L1240" s="211"/>
      <c r="M1240" s="211"/>
      <c r="N1240" s="211"/>
    </row>
    <row r="1241" spans="1:14">
      <c r="A1241" s="211"/>
      <c r="B1241" s="211"/>
      <c r="C1241" s="211"/>
      <c r="D1241" s="211"/>
      <c r="E1241" s="211"/>
      <c r="F1241" s="211"/>
      <c r="G1241" s="211"/>
      <c r="H1241" s="211"/>
      <c r="I1241" s="211"/>
      <c r="J1241" s="211"/>
      <c r="K1241" s="211"/>
      <c r="L1241" s="211"/>
      <c r="M1241" s="211"/>
      <c r="N1241" s="211"/>
    </row>
    <row r="1242" spans="1:14">
      <c r="A1242" s="211"/>
      <c r="B1242" s="211"/>
      <c r="C1242" s="211"/>
      <c r="D1242" s="211"/>
      <c r="E1242" s="211"/>
      <c r="F1242" s="211"/>
      <c r="G1242" s="211"/>
      <c r="H1242" s="211"/>
      <c r="I1242" s="211"/>
      <c r="J1242" s="211"/>
      <c r="K1242" s="211"/>
      <c r="L1242" s="211"/>
      <c r="M1242" s="211"/>
      <c r="N1242" s="211"/>
    </row>
    <row r="1243" spans="1:14">
      <c r="A1243" s="211"/>
      <c r="B1243" s="211"/>
      <c r="C1243" s="211"/>
      <c r="D1243" s="211"/>
      <c r="E1243" s="211"/>
      <c r="F1243" s="211"/>
      <c r="G1243" s="211"/>
      <c r="H1243" s="211"/>
      <c r="I1243" s="211"/>
      <c r="J1243" s="211"/>
      <c r="K1243" s="211"/>
      <c r="L1243" s="211"/>
      <c r="M1243" s="211"/>
      <c r="N1243" s="211"/>
    </row>
    <row r="1244" spans="1:14">
      <c r="A1244" s="211"/>
      <c r="B1244" s="211"/>
      <c r="C1244" s="211"/>
      <c r="D1244" s="211"/>
      <c r="E1244" s="211"/>
      <c r="F1244" s="211"/>
      <c r="G1244" s="211"/>
      <c r="H1244" s="211"/>
      <c r="I1244" s="211"/>
      <c r="J1244" s="211"/>
      <c r="K1244" s="211"/>
      <c r="L1244" s="211"/>
      <c r="M1244" s="211"/>
      <c r="N1244" s="211"/>
    </row>
    <row r="1245" spans="1:14">
      <c r="A1245" s="211"/>
      <c r="B1245" s="211"/>
      <c r="C1245" s="211"/>
      <c r="D1245" s="211"/>
      <c r="E1245" s="211"/>
      <c r="F1245" s="211"/>
      <c r="G1245" s="211"/>
      <c r="H1245" s="211"/>
      <c r="I1245" s="211"/>
      <c r="J1245" s="211"/>
      <c r="K1245" s="211"/>
      <c r="L1245" s="211"/>
      <c r="M1245" s="211"/>
      <c r="N1245" s="211"/>
    </row>
    <row r="1246" spans="1:14">
      <c r="A1246" s="211"/>
      <c r="B1246" s="211"/>
      <c r="C1246" s="211"/>
      <c r="D1246" s="211"/>
      <c r="E1246" s="211"/>
      <c r="F1246" s="211"/>
      <c r="G1246" s="211"/>
      <c r="H1246" s="211"/>
      <c r="I1246" s="211"/>
      <c r="J1246" s="211"/>
      <c r="K1246" s="211"/>
      <c r="L1246" s="211"/>
      <c r="M1246" s="211"/>
      <c r="N1246" s="211"/>
    </row>
    <row r="1247" spans="1:14">
      <c r="A1247" s="211"/>
      <c r="B1247" s="211"/>
      <c r="C1247" s="211"/>
      <c r="D1247" s="211"/>
      <c r="E1247" s="211"/>
      <c r="F1247" s="211"/>
      <c r="G1247" s="211"/>
      <c r="H1247" s="211"/>
      <c r="I1247" s="211"/>
      <c r="J1247" s="211"/>
      <c r="K1247" s="211"/>
      <c r="L1247" s="211"/>
      <c r="M1247" s="211"/>
      <c r="N1247" s="211"/>
    </row>
    <row r="1248" spans="1:14">
      <c r="A1248" s="211"/>
      <c r="B1248" s="211"/>
      <c r="C1248" s="211"/>
      <c r="D1248" s="211"/>
      <c r="E1248" s="211"/>
      <c r="F1248" s="211"/>
      <c r="G1248" s="211"/>
      <c r="H1248" s="211"/>
      <c r="I1248" s="211"/>
      <c r="J1248" s="211"/>
      <c r="K1248" s="211"/>
      <c r="L1248" s="211"/>
      <c r="M1248" s="211"/>
      <c r="N1248" s="211"/>
    </row>
    <row r="1249" spans="1:14">
      <c r="A1249" s="211"/>
      <c r="B1249" s="211"/>
      <c r="C1249" s="211"/>
      <c r="D1249" s="211"/>
      <c r="E1249" s="211"/>
      <c r="F1249" s="211"/>
      <c r="G1249" s="211"/>
      <c r="H1249" s="211"/>
      <c r="I1249" s="211"/>
      <c r="J1249" s="211"/>
      <c r="K1249" s="211"/>
      <c r="L1249" s="211"/>
      <c r="M1249" s="211"/>
      <c r="N1249" s="211"/>
    </row>
    <row r="1250" spans="1:14">
      <c r="A1250" s="211"/>
      <c r="B1250" s="211"/>
      <c r="C1250" s="211"/>
      <c r="D1250" s="211"/>
      <c r="E1250" s="211"/>
      <c r="F1250" s="211"/>
      <c r="G1250" s="211"/>
      <c r="H1250" s="211"/>
      <c r="I1250" s="211"/>
      <c r="J1250" s="211"/>
      <c r="K1250" s="211"/>
      <c r="L1250" s="211"/>
      <c r="M1250" s="211"/>
      <c r="N1250" s="211"/>
    </row>
    <row r="1251" spans="1:14">
      <c r="A1251" s="211"/>
      <c r="B1251" s="211"/>
      <c r="C1251" s="211"/>
      <c r="D1251" s="211"/>
      <c r="E1251" s="211"/>
      <c r="F1251" s="211"/>
      <c r="G1251" s="211"/>
      <c r="H1251" s="211"/>
      <c r="I1251" s="211"/>
      <c r="J1251" s="211"/>
      <c r="K1251" s="211"/>
      <c r="L1251" s="211"/>
      <c r="M1251" s="211"/>
      <c r="N1251" s="211"/>
    </row>
    <row r="1252" spans="1:14">
      <c r="A1252" s="211"/>
      <c r="B1252" s="211"/>
      <c r="C1252" s="211"/>
      <c r="D1252" s="211"/>
      <c r="E1252" s="211"/>
      <c r="F1252" s="211"/>
      <c r="G1252" s="211"/>
      <c r="H1252" s="211"/>
      <c r="I1252" s="211"/>
      <c r="J1252" s="211"/>
      <c r="K1252" s="211"/>
      <c r="L1252" s="211"/>
      <c r="M1252" s="211"/>
      <c r="N1252" s="211"/>
    </row>
    <row r="1253" spans="1:14">
      <c r="A1253" s="211"/>
      <c r="B1253" s="211"/>
      <c r="C1253" s="211"/>
      <c r="D1253" s="211"/>
      <c r="E1253" s="211"/>
      <c r="F1253" s="211"/>
      <c r="G1253" s="211"/>
      <c r="H1253" s="211"/>
      <c r="I1253" s="211"/>
      <c r="J1253" s="211"/>
      <c r="K1253" s="211"/>
      <c r="L1253" s="211"/>
      <c r="M1253" s="211"/>
      <c r="N1253" s="211"/>
    </row>
    <row r="1254" spans="1:14">
      <c r="A1254" s="211"/>
      <c r="B1254" s="211"/>
      <c r="C1254" s="211"/>
      <c r="D1254" s="211"/>
      <c r="E1254" s="211"/>
      <c r="F1254" s="211"/>
      <c r="G1254" s="211"/>
      <c r="H1254" s="211"/>
      <c r="I1254" s="211"/>
      <c r="J1254" s="211"/>
      <c r="K1254" s="211"/>
      <c r="L1254" s="211"/>
      <c r="M1254" s="211"/>
      <c r="N1254" s="211"/>
    </row>
    <row r="1255" spans="1:14">
      <c r="A1255" s="211"/>
      <c r="B1255" s="211"/>
      <c r="C1255" s="211"/>
      <c r="D1255" s="211"/>
      <c r="E1255" s="211"/>
      <c r="F1255" s="211"/>
      <c r="G1255" s="211"/>
      <c r="H1255" s="211"/>
      <c r="I1255" s="211"/>
      <c r="J1255" s="211"/>
      <c r="K1255" s="211"/>
      <c r="L1255" s="211"/>
      <c r="M1255" s="211"/>
      <c r="N1255" s="211"/>
    </row>
    <row r="1256" spans="1:14">
      <c r="A1256" s="211"/>
      <c r="B1256" s="211"/>
      <c r="C1256" s="211"/>
      <c r="D1256" s="211"/>
      <c r="E1256" s="211"/>
      <c r="F1256" s="211"/>
      <c r="G1256" s="211"/>
      <c r="H1256" s="211"/>
      <c r="I1256" s="211"/>
      <c r="J1256" s="211"/>
      <c r="K1256" s="211"/>
      <c r="L1256" s="211"/>
      <c r="M1256" s="211"/>
      <c r="N1256" s="211"/>
    </row>
    <row r="1257" spans="1:14">
      <c r="A1257" s="211"/>
      <c r="B1257" s="211"/>
      <c r="C1257" s="211"/>
      <c r="D1257" s="211"/>
      <c r="E1257" s="211"/>
      <c r="F1257" s="211"/>
      <c r="G1257" s="211"/>
      <c r="H1257" s="211"/>
      <c r="I1257" s="211"/>
      <c r="J1257" s="211"/>
      <c r="K1257" s="211"/>
      <c r="L1257" s="211"/>
      <c r="M1257" s="211"/>
      <c r="N1257" s="211"/>
    </row>
    <row r="1258" spans="1:14">
      <c r="A1258" s="211"/>
      <c r="B1258" s="211"/>
      <c r="C1258" s="211"/>
      <c r="D1258" s="211"/>
      <c r="E1258" s="211"/>
      <c r="F1258" s="211"/>
      <c r="G1258" s="211"/>
      <c r="H1258" s="211"/>
      <c r="I1258" s="211"/>
      <c r="J1258" s="211"/>
      <c r="K1258" s="211"/>
      <c r="L1258" s="211"/>
      <c r="M1258" s="211"/>
      <c r="N1258" s="211"/>
    </row>
    <row r="1259" spans="1:14">
      <c r="A1259" s="211"/>
      <c r="B1259" s="211"/>
      <c r="C1259" s="211"/>
      <c r="D1259" s="211"/>
      <c r="E1259" s="211"/>
      <c r="F1259" s="211"/>
      <c r="G1259" s="211"/>
      <c r="H1259" s="211"/>
      <c r="I1259" s="211"/>
      <c r="J1259" s="211"/>
      <c r="K1259" s="211"/>
      <c r="L1259" s="211"/>
      <c r="M1259" s="211"/>
      <c r="N1259" s="211"/>
    </row>
    <row r="1260" spans="1:14">
      <c r="A1260" s="211"/>
      <c r="B1260" s="211"/>
      <c r="C1260" s="211"/>
      <c r="D1260" s="211"/>
      <c r="E1260" s="211"/>
      <c r="F1260" s="211"/>
      <c r="G1260" s="211"/>
      <c r="H1260" s="211"/>
      <c r="I1260" s="211"/>
      <c r="J1260" s="211"/>
      <c r="K1260" s="211"/>
      <c r="L1260" s="211"/>
      <c r="M1260" s="211"/>
      <c r="N1260" s="211"/>
    </row>
    <row r="1261" spans="1:14">
      <c r="A1261" s="211"/>
      <c r="B1261" s="211"/>
      <c r="C1261" s="211"/>
      <c r="D1261" s="211"/>
      <c r="E1261" s="211"/>
      <c r="F1261" s="211"/>
      <c r="G1261" s="211"/>
      <c r="H1261" s="211"/>
      <c r="I1261" s="211"/>
      <c r="J1261" s="211"/>
      <c r="K1261" s="211"/>
      <c r="L1261" s="211"/>
      <c r="M1261" s="211"/>
      <c r="N1261" s="211"/>
    </row>
    <row r="1262" spans="1:14">
      <c r="A1262" s="211"/>
      <c r="B1262" s="211"/>
      <c r="C1262" s="211"/>
      <c r="D1262" s="211"/>
      <c r="E1262" s="211"/>
      <c r="F1262" s="211"/>
      <c r="G1262" s="211"/>
      <c r="H1262" s="211"/>
      <c r="I1262" s="211"/>
      <c r="J1262" s="211"/>
      <c r="K1262" s="211"/>
      <c r="L1262" s="211"/>
      <c r="M1262" s="211"/>
      <c r="N1262" s="211"/>
    </row>
    <row r="1263" spans="1:14">
      <c r="A1263" s="211"/>
      <c r="B1263" s="211"/>
      <c r="C1263" s="211"/>
      <c r="D1263" s="211"/>
      <c r="E1263" s="211"/>
      <c r="F1263" s="211"/>
      <c r="G1263" s="211"/>
      <c r="H1263" s="211"/>
      <c r="I1263" s="211"/>
      <c r="J1263" s="211"/>
      <c r="K1263" s="211"/>
      <c r="L1263" s="211"/>
      <c r="M1263" s="211"/>
      <c r="N1263" s="211"/>
    </row>
    <row r="1264" spans="1:14">
      <c r="A1264" s="211"/>
      <c r="B1264" s="211"/>
      <c r="C1264" s="211"/>
      <c r="D1264" s="211"/>
      <c r="E1264" s="211"/>
      <c r="F1264" s="211"/>
      <c r="G1264" s="211"/>
      <c r="H1264" s="211"/>
      <c r="I1264" s="211"/>
      <c r="J1264" s="211"/>
      <c r="K1264" s="211"/>
      <c r="L1264" s="211"/>
      <c r="M1264" s="211"/>
      <c r="N1264" s="211"/>
    </row>
    <row r="1265" spans="1:14">
      <c r="A1265" s="211"/>
      <c r="B1265" s="211"/>
      <c r="C1265" s="211"/>
      <c r="D1265" s="211"/>
      <c r="E1265" s="211"/>
      <c r="F1265" s="211"/>
      <c r="G1265" s="211"/>
      <c r="H1265" s="211"/>
      <c r="I1265" s="211"/>
      <c r="J1265" s="211"/>
      <c r="K1265" s="211"/>
      <c r="L1265" s="211"/>
      <c r="M1265" s="211"/>
      <c r="N1265" s="211"/>
    </row>
    <row r="1266" spans="1:14">
      <c r="A1266" s="211"/>
      <c r="B1266" s="211"/>
      <c r="C1266" s="211"/>
      <c r="D1266" s="211"/>
      <c r="E1266" s="211"/>
      <c r="F1266" s="211"/>
      <c r="G1266" s="211"/>
      <c r="H1266" s="211"/>
      <c r="I1266" s="211"/>
      <c r="J1266" s="211"/>
      <c r="K1266" s="211"/>
      <c r="L1266" s="211"/>
      <c r="M1266" s="211"/>
      <c r="N1266" s="211"/>
    </row>
    <row r="1267" spans="1:14">
      <c r="A1267" s="211"/>
      <c r="B1267" s="211"/>
      <c r="C1267" s="211"/>
      <c r="D1267" s="211"/>
      <c r="E1267" s="211"/>
      <c r="F1267" s="211"/>
      <c r="G1267" s="211"/>
      <c r="H1267" s="211"/>
      <c r="I1267" s="211"/>
      <c r="J1267" s="211"/>
      <c r="K1267" s="211"/>
      <c r="L1267" s="211"/>
      <c r="M1267" s="211"/>
      <c r="N1267" s="211"/>
    </row>
    <row r="1268" spans="1:14">
      <c r="A1268" s="211"/>
      <c r="B1268" s="211"/>
      <c r="C1268" s="211"/>
      <c r="D1268" s="211"/>
      <c r="E1268" s="211"/>
      <c r="F1268" s="211"/>
      <c r="G1268" s="211"/>
      <c r="H1268" s="211"/>
      <c r="I1268" s="211"/>
      <c r="J1268" s="211"/>
      <c r="K1268" s="211"/>
      <c r="L1268" s="211"/>
      <c r="M1268" s="211"/>
      <c r="N1268" s="211"/>
    </row>
    <row r="1269" spans="1:14">
      <c r="A1269" s="211"/>
      <c r="B1269" s="211"/>
      <c r="C1269" s="211"/>
      <c r="D1269" s="211"/>
      <c r="E1269" s="211"/>
      <c r="F1269" s="211"/>
      <c r="G1269" s="211"/>
      <c r="H1269" s="211"/>
      <c r="I1269" s="211"/>
      <c r="J1269" s="211"/>
      <c r="K1269" s="211"/>
      <c r="L1269" s="211"/>
      <c r="M1269" s="211"/>
      <c r="N1269" s="211"/>
    </row>
    <row r="1270" spans="1:14">
      <c r="A1270" s="211"/>
      <c r="B1270" s="211"/>
      <c r="C1270" s="211"/>
      <c r="D1270" s="211"/>
      <c r="E1270" s="211"/>
      <c r="F1270" s="211"/>
      <c r="G1270" s="211"/>
      <c r="H1270" s="211"/>
      <c r="I1270" s="211"/>
      <c r="J1270" s="211"/>
      <c r="K1270" s="211"/>
      <c r="L1270" s="211"/>
      <c r="M1270" s="211"/>
      <c r="N1270" s="211"/>
    </row>
    <row r="1271" spans="1:14">
      <c r="A1271" s="211"/>
      <c r="B1271" s="211"/>
      <c r="C1271" s="211"/>
      <c r="D1271" s="211"/>
      <c r="E1271" s="211"/>
      <c r="F1271" s="211"/>
      <c r="G1271" s="211"/>
      <c r="H1271" s="211"/>
      <c r="I1271" s="211"/>
      <c r="J1271" s="211"/>
      <c r="K1271" s="211"/>
      <c r="L1271" s="211"/>
      <c r="M1271" s="211"/>
      <c r="N1271" s="211"/>
    </row>
    <row r="1272" spans="1:14">
      <c r="A1272" s="211"/>
      <c r="B1272" s="211"/>
      <c r="C1272" s="211"/>
      <c r="D1272" s="211"/>
      <c r="E1272" s="211"/>
      <c r="F1272" s="211"/>
      <c r="G1272" s="211"/>
      <c r="H1272" s="211"/>
      <c r="I1272" s="211"/>
      <c r="J1272" s="211"/>
      <c r="K1272" s="211"/>
      <c r="L1272" s="211"/>
      <c r="M1272" s="211"/>
      <c r="N1272" s="211"/>
    </row>
    <row r="1273" spans="1:14">
      <c r="A1273" s="211"/>
      <c r="B1273" s="211"/>
      <c r="C1273" s="211"/>
      <c r="D1273" s="211"/>
      <c r="E1273" s="211"/>
      <c r="F1273" s="211"/>
      <c r="G1273" s="211"/>
      <c r="H1273" s="211"/>
      <c r="I1273" s="211"/>
      <c r="J1273" s="211"/>
      <c r="K1273" s="211"/>
      <c r="L1273" s="211"/>
      <c r="M1273" s="211"/>
      <c r="N1273" s="211"/>
    </row>
    <row r="1274" spans="1:14">
      <c r="A1274" s="211"/>
      <c r="B1274" s="211"/>
      <c r="C1274" s="211"/>
      <c r="D1274" s="211"/>
      <c r="E1274" s="211"/>
      <c r="F1274" s="211"/>
      <c r="G1274" s="211"/>
      <c r="H1274" s="211"/>
      <c r="I1274" s="211"/>
      <c r="J1274" s="211"/>
      <c r="K1274" s="211"/>
      <c r="L1274" s="211"/>
      <c r="M1274" s="211"/>
      <c r="N1274" s="211"/>
    </row>
    <row r="1275" spans="1:14">
      <c r="A1275" s="211"/>
      <c r="B1275" s="211"/>
      <c r="C1275" s="211"/>
      <c r="D1275" s="211"/>
      <c r="E1275" s="211"/>
      <c r="F1275" s="211"/>
      <c r="G1275" s="211"/>
      <c r="H1275" s="211"/>
      <c r="I1275" s="211"/>
      <c r="J1275" s="211"/>
      <c r="K1275" s="211"/>
      <c r="L1275" s="211"/>
      <c r="M1275" s="211"/>
      <c r="N1275" s="211"/>
    </row>
    <row r="1276" spans="1:14">
      <c r="A1276" s="211"/>
      <c r="B1276" s="211"/>
      <c r="C1276" s="211"/>
      <c r="D1276" s="211"/>
      <c r="E1276" s="211"/>
      <c r="F1276" s="211"/>
      <c r="G1276" s="211"/>
      <c r="H1276" s="211"/>
      <c r="I1276" s="211"/>
      <c r="J1276" s="211"/>
      <c r="K1276" s="211"/>
      <c r="L1276" s="211"/>
      <c r="M1276" s="211"/>
      <c r="N1276" s="211"/>
    </row>
    <row r="1277" spans="1:14">
      <c r="A1277" s="211"/>
      <c r="B1277" s="211"/>
      <c r="C1277" s="211"/>
      <c r="D1277" s="211"/>
      <c r="E1277" s="211"/>
      <c r="F1277" s="211"/>
      <c r="G1277" s="211"/>
      <c r="H1277" s="211"/>
      <c r="I1277" s="211"/>
      <c r="J1277" s="211"/>
      <c r="K1277" s="211"/>
      <c r="L1277" s="211"/>
      <c r="M1277" s="211"/>
      <c r="N1277" s="211"/>
    </row>
    <row r="1278" spans="1:14">
      <c r="A1278" s="211"/>
      <c r="B1278" s="211"/>
      <c r="C1278" s="211"/>
      <c r="D1278" s="211"/>
      <c r="E1278" s="211"/>
      <c r="F1278" s="211"/>
      <c r="G1278" s="211"/>
      <c r="H1278" s="211"/>
      <c r="I1278" s="211"/>
      <c r="J1278" s="211"/>
      <c r="K1278" s="211"/>
      <c r="L1278" s="211"/>
      <c r="M1278" s="211"/>
      <c r="N1278" s="211"/>
    </row>
    <row r="1279" spans="1:14">
      <c r="A1279" s="211"/>
      <c r="B1279" s="211"/>
      <c r="C1279" s="211"/>
      <c r="D1279" s="211"/>
      <c r="E1279" s="211"/>
      <c r="F1279" s="211"/>
      <c r="G1279" s="211"/>
      <c r="H1279" s="211"/>
      <c r="I1279" s="211"/>
      <c r="J1279" s="211"/>
      <c r="K1279" s="211"/>
      <c r="L1279" s="211"/>
      <c r="M1279" s="211"/>
      <c r="N1279" s="211"/>
    </row>
    <row r="1280" spans="1:14">
      <c r="A1280" s="211"/>
      <c r="B1280" s="211"/>
      <c r="C1280" s="211"/>
      <c r="D1280" s="211"/>
      <c r="E1280" s="211"/>
      <c r="F1280" s="211"/>
      <c r="G1280" s="211"/>
      <c r="H1280" s="211"/>
      <c r="I1280" s="211"/>
      <c r="J1280" s="211"/>
      <c r="K1280" s="211"/>
      <c r="L1280" s="211"/>
      <c r="M1280" s="211"/>
      <c r="N1280" s="211"/>
    </row>
    <row r="1281" spans="1:14">
      <c r="A1281" s="211"/>
      <c r="B1281" s="211"/>
      <c r="C1281" s="211"/>
      <c r="D1281" s="211"/>
      <c r="E1281" s="211"/>
      <c r="F1281" s="211"/>
      <c r="G1281" s="211"/>
      <c r="H1281" s="211"/>
      <c r="I1281" s="211"/>
      <c r="J1281" s="211"/>
      <c r="K1281" s="211"/>
      <c r="L1281" s="211"/>
      <c r="M1281" s="211"/>
      <c r="N1281" s="211"/>
    </row>
    <row r="1282" spans="1:14">
      <c r="A1282" s="211"/>
      <c r="B1282" s="211"/>
      <c r="C1282" s="211"/>
      <c r="D1282" s="211"/>
      <c r="E1282" s="211"/>
      <c r="F1282" s="211"/>
      <c r="G1282" s="211"/>
      <c r="H1282" s="211"/>
      <c r="I1282" s="211"/>
      <c r="J1282" s="211"/>
      <c r="K1282" s="211"/>
      <c r="L1282" s="211"/>
      <c r="M1282" s="211"/>
      <c r="N1282" s="211"/>
    </row>
    <row r="1283" spans="1:14">
      <c r="A1283" s="211"/>
      <c r="B1283" s="211"/>
      <c r="C1283" s="211"/>
      <c r="D1283" s="211"/>
      <c r="E1283" s="211"/>
      <c r="F1283" s="211"/>
      <c r="G1283" s="211"/>
      <c r="H1283" s="211"/>
      <c r="I1283" s="211"/>
      <c r="J1283" s="211"/>
      <c r="K1283" s="211"/>
      <c r="L1283" s="211"/>
      <c r="M1283" s="211"/>
      <c r="N1283" s="211"/>
    </row>
    <row r="1284" spans="1:14">
      <c r="A1284" s="211"/>
      <c r="B1284" s="211"/>
      <c r="C1284" s="211"/>
      <c r="D1284" s="211"/>
      <c r="E1284" s="211"/>
      <c r="F1284" s="211"/>
      <c r="G1284" s="211"/>
      <c r="H1284" s="211"/>
      <c r="I1284" s="211"/>
      <c r="J1284" s="211"/>
      <c r="K1284" s="211"/>
      <c r="L1284" s="211"/>
      <c r="M1284" s="211"/>
      <c r="N1284" s="211"/>
    </row>
    <row r="1285" spans="1:14">
      <c r="A1285" s="211"/>
      <c r="B1285" s="211"/>
      <c r="C1285" s="211"/>
      <c r="D1285" s="211"/>
      <c r="E1285" s="211"/>
      <c r="F1285" s="211"/>
      <c r="G1285" s="211"/>
      <c r="H1285" s="211"/>
      <c r="I1285" s="211"/>
      <c r="J1285" s="211"/>
      <c r="K1285" s="211"/>
      <c r="L1285" s="211"/>
      <c r="M1285" s="211"/>
      <c r="N1285" s="211"/>
    </row>
    <row r="1286" spans="1:14">
      <c r="A1286" s="211"/>
      <c r="B1286" s="211"/>
      <c r="C1286" s="211"/>
      <c r="D1286" s="211"/>
      <c r="E1286" s="211"/>
      <c r="F1286" s="211"/>
      <c r="G1286" s="211"/>
      <c r="H1286" s="211"/>
      <c r="I1286" s="211"/>
      <c r="J1286" s="211"/>
      <c r="K1286" s="211"/>
      <c r="L1286" s="211"/>
      <c r="M1286" s="211"/>
      <c r="N1286" s="211"/>
    </row>
    <row r="1287" spans="1:14">
      <c r="A1287" s="211"/>
      <c r="B1287" s="211"/>
      <c r="C1287" s="211"/>
      <c r="D1287" s="211"/>
      <c r="E1287" s="211"/>
      <c r="F1287" s="211"/>
      <c r="G1287" s="211"/>
      <c r="H1287" s="211"/>
      <c r="I1287" s="211"/>
      <c r="J1287" s="211"/>
      <c r="K1287" s="211"/>
      <c r="L1287" s="211"/>
      <c r="M1287" s="211"/>
      <c r="N1287" s="211"/>
    </row>
    <row r="1288" spans="1:14">
      <c r="A1288" s="211"/>
      <c r="B1288" s="211"/>
      <c r="C1288" s="211"/>
      <c r="D1288" s="211"/>
      <c r="E1288" s="211"/>
      <c r="F1288" s="211"/>
      <c r="G1288" s="211"/>
      <c r="H1288" s="211"/>
      <c r="I1288" s="211"/>
      <c r="J1288" s="211"/>
      <c r="K1288" s="211"/>
      <c r="L1288" s="211"/>
      <c r="M1288" s="211"/>
      <c r="N1288" s="211"/>
    </row>
    <row r="1289" spans="1:14">
      <c r="A1289" s="211"/>
      <c r="B1289" s="211"/>
      <c r="C1289" s="211"/>
      <c r="D1289" s="211"/>
      <c r="E1289" s="211"/>
      <c r="F1289" s="211"/>
      <c r="G1289" s="211"/>
      <c r="H1289" s="211"/>
      <c r="I1289" s="211"/>
      <c r="J1289" s="211"/>
      <c r="K1289" s="211"/>
      <c r="L1289" s="211"/>
      <c r="M1289" s="211"/>
      <c r="N1289" s="211"/>
    </row>
    <row r="1290" spans="1:14">
      <c r="A1290" s="211"/>
      <c r="B1290" s="211"/>
      <c r="C1290" s="211"/>
      <c r="D1290" s="211"/>
      <c r="E1290" s="211"/>
      <c r="F1290" s="211"/>
      <c r="G1290" s="211"/>
      <c r="H1290" s="211"/>
      <c r="I1290" s="211"/>
      <c r="J1290" s="211"/>
      <c r="K1290" s="211"/>
      <c r="L1290" s="211"/>
      <c r="M1290" s="211"/>
      <c r="N1290" s="211"/>
    </row>
    <row r="1291" spans="1:14">
      <c r="A1291" s="211"/>
      <c r="B1291" s="211"/>
      <c r="C1291" s="211"/>
      <c r="D1291" s="211"/>
      <c r="E1291" s="211"/>
      <c r="F1291" s="211"/>
      <c r="G1291" s="211"/>
      <c r="H1291" s="211"/>
      <c r="I1291" s="211"/>
      <c r="J1291" s="211"/>
      <c r="K1291" s="211"/>
      <c r="L1291" s="211"/>
      <c r="M1291" s="211"/>
      <c r="N1291" s="211"/>
    </row>
    <row r="1292" spans="1:14">
      <c r="A1292" s="211"/>
      <c r="B1292" s="211"/>
      <c r="C1292" s="211"/>
      <c r="D1292" s="211"/>
      <c r="E1292" s="211"/>
      <c r="F1292" s="211"/>
      <c r="G1292" s="211"/>
      <c r="H1292" s="211"/>
      <c r="I1292" s="211"/>
      <c r="J1292" s="211"/>
      <c r="K1292" s="211"/>
      <c r="L1292" s="211"/>
      <c r="M1292" s="211"/>
      <c r="N1292" s="211"/>
    </row>
    <row r="1293" spans="1:14">
      <c r="A1293" s="211"/>
      <c r="B1293" s="211"/>
      <c r="C1293" s="211"/>
      <c r="D1293" s="211"/>
      <c r="E1293" s="211"/>
      <c r="F1293" s="211"/>
      <c r="G1293" s="211"/>
      <c r="H1293" s="211"/>
      <c r="I1293" s="211"/>
      <c r="J1293" s="211"/>
      <c r="K1293" s="211"/>
      <c r="L1293" s="211"/>
      <c r="M1293" s="211"/>
      <c r="N1293" s="211"/>
    </row>
    <row r="1294" spans="1:14">
      <c r="A1294" s="211"/>
      <c r="B1294" s="211"/>
      <c r="C1294" s="211"/>
      <c r="D1294" s="211"/>
      <c r="E1294" s="211"/>
      <c r="F1294" s="211"/>
      <c r="G1294" s="211"/>
      <c r="H1294" s="211"/>
      <c r="I1294" s="211"/>
      <c r="J1294" s="211"/>
      <c r="K1294" s="211"/>
      <c r="L1294" s="211"/>
      <c r="M1294" s="211"/>
      <c r="N1294" s="211"/>
    </row>
    <row r="1295" spans="1:14">
      <c r="A1295" s="211"/>
      <c r="B1295" s="211"/>
      <c r="C1295" s="211"/>
      <c r="D1295" s="211"/>
      <c r="E1295" s="211"/>
      <c r="F1295" s="211"/>
      <c r="G1295" s="211"/>
      <c r="H1295" s="211"/>
      <c r="I1295" s="211"/>
      <c r="J1295" s="211"/>
      <c r="K1295" s="211"/>
      <c r="L1295" s="211"/>
      <c r="M1295" s="211"/>
      <c r="N1295" s="211"/>
    </row>
    <row r="1296" spans="1:14">
      <c r="A1296" s="211"/>
      <c r="B1296" s="211"/>
      <c r="C1296" s="211"/>
      <c r="D1296" s="211"/>
      <c r="E1296" s="211"/>
      <c r="F1296" s="211"/>
      <c r="G1296" s="211"/>
      <c r="H1296" s="211"/>
      <c r="I1296" s="211"/>
      <c r="J1296" s="211"/>
      <c r="K1296" s="211"/>
      <c r="L1296" s="211"/>
      <c r="M1296" s="211"/>
      <c r="N1296" s="211"/>
    </row>
    <row r="1297" spans="1:14">
      <c r="A1297" s="211"/>
      <c r="B1297" s="211"/>
      <c r="C1297" s="211"/>
      <c r="D1297" s="211"/>
      <c r="E1297" s="211"/>
      <c r="F1297" s="211"/>
      <c r="G1297" s="211"/>
      <c r="H1297" s="211"/>
      <c r="I1297" s="211"/>
      <c r="J1297" s="211"/>
      <c r="K1297" s="211"/>
      <c r="L1297" s="211"/>
      <c r="M1297" s="211"/>
      <c r="N1297" s="211"/>
    </row>
    <row r="1298" spans="1:14">
      <c r="A1298" s="211"/>
      <c r="B1298" s="211"/>
      <c r="C1298" s="211"/>
      <c r="D1298" s="211"/>
      <c r="E1298" s="211"/>
      <c r="F1298" s="211"/>
      <c r="G1298" s="211"/>
      <c r="H1298" s="211"/>
      <c r="I1298" s="211"/>
      <c r="J1298" s="211"/>
      <c r="K1298" s="211"/>
      <c r="L1298" s="211"/>
      <c r="M1298" s="211"/>
      <c r="N1298" s="211"/>
    </row>
    <row r="1299" spans="1:14">
      <c r="A1299" s="211"/>
      <c r="B1299" s="211"/>
      <c r="C1299" s="211"/>
      <c r="D1299" s="211"/>
      <c r="E1299" s="211"/>
      <c r="F1299" s="211"/>
      <c r="G1299" s="211"/>
      <c r="H1299" s="211"/>
      <c r="I1299" s="211"/>
      <c r="J1299" s="211"/>
      <c r="K1299" s="211"/>
      <c r="L1299" s="211"/>
      <c r="M1299" s="211"/>
      <c r="N1299" s="211"/>
    </row>
    <row r="1300" spans="1:14">
      <c r="A1300" s="211"/>
      <c r="B1300" s="211"/>
      <c r="C1300" s="211"/>
      <c r="D1300" s="211"/>
      <c r="E1300" s="211"/>
      <c r="F1300" s="211"/>
      <c r="G1300" s="211"/>
      <c r="H1300" s="211"/>
      <c r="I1300" s="211"/>
      <c r="J1300" s="211"/>
      <c r="K1300" s="211"/>
      <c r="L1300" s="211"/>
      <c r="M1300" s="211"/>
      <c r="N1300" s="211"/>
    </row>
    <row r="1301" spans="1:14">
      <c r="A1301" s="211"/>
      <c r="B1301" s="211"/>
      <c r="C1301" s="211"/>
      <c r="D1301" s="211"/>
      <c r="E1301" s="211"/>
      <c r="F1301" s="211"/>
      <c r="G1301" s="211"/>
      <c r="H1301" s="211"/>
      <c r="I1301" s="211"/>
      <c r="J1301" s="211"/>
      <c r="K1301" s="211"/>
      <c r="L1301" s="211"/>
      <c r="M1301" s="211"/>
      <c r="N1301" s="211"/>
    </row>
    <row r="1302" spans="1:14">
      <c r="A1302" s="211"/>
      <c r="B1302" s="211"/>
      <c r="C1302" s="211"/>
      <c r="D1302" s="211"/>
      <c r="E1302" s="211"/>
      <c r="F1302" s="211"/>
      <c r="G1302" s="211"/>
      <c r="H1302" s="211"/>
      <c r="I1302" s="211"/>
      <c r="J1302" s="211"/>
      <c r="K1302" s="211"/>
      <c r="L1302" s="211"/>
      <c r="M1302" s="211"/>
      <c r="N1302" s="211"/>
    </row>
    <row r="1303" spans="1:14">
      <c r="A1303" s="211"/>
      <c r="B1303" s="211"/>
      <c r="C1303" s="211"/>
      <c r="D1303" s="211"/>
      <c r="E1303" s="211"/>
      <c r="F1303" s="211"/>
      <c r="G1303" s="211"/>
      <c r="H1303" s="211"/>
      <c r="I1303" s="211"/>
      <c r="J1303" s="211"/>
      <c r="K1303" s="211"/>
      <c r="L1303" s="211"/>
      <c r="M1303" s="211"/>
      <c r="N1303" s="211"/>
    </row>
    <row r="1304" spans="1:14">
      <c r="A1304" s="211"/>
      <c r="B1304" s="211"/>
      <c r="C1304" s="211"/>
      <c r="D1304" s="211"/>
      <c r="E1304" s="211"/>
      <c r="F1304" s="211"/>
      <c r="G1304" s="211"/>
      <c r="H1304" s="211"/>
      <c r="I1304" s="211"/>
      <c r="J1304" s="211"/>
      <c r="K1304" s="211"/>
      <c r="L1304" s="211"/>
      <c r="M1304" s="211"/>
      <c r="N1304" s="211"/>
    </row>
    <row r="1305" spans="1:14">
      <c r="A1305" s="211"/>
      <c r="B1305" s="211"/>
      <c r="C1305" s="211"/>
      <c r="D1305" s="211"/>
      <c r="E1305" s="211"/>
      <c r="F1305" s="211"/>
      <c r="G1305" s="211"/>
      <c r="H1305" s="211"/>
      <c r="I1305" s="211"/>
      <c r="J1305" s="211"/>
      <c r="K1305" s="211"/>
      <c r="L1305" s="211"/>
      <c r="M1305" s="211"/>
      <c r="N1305" s="211"/>
    </row>
    <row r="1306" spans="1:14">
      <c r="A1306" s="211"/>
      <c r="B1306" s="211"/>
      <c r="C1306" s="211"/>
      <c r="D1306" s="211"/>
      <c r="E1306" s="211"/>
      <c r="F1306" s="211"/>
      <c r="G1306" s="211"/>
      <c r="H1306" s="211"/>
      <c r="I1306" s="211"/>
      <c r="J1306" s="211"/>
      <c r="K1306" s="211"/>
      <c r="L1306" s="211"/>
      <c r="M1306" s="211"/>
      <c r="N1306" s="211"/>
    </row>
    <row r="1307" spans="1:14">
      <c r="A1307" s="211"/>
      <c r="B1307" s="211"/>
      <c r="C1307" s="211"/>
      <c r="D1307" s="211"/>
      <c r="E1307" s="211"/>
      <c r="F1307" s="211"/>
      <c r="G1307" s="211"/>
      <c r="H1307" s="211"/>
      <c r="I1307" s="211"/>
      <c r="J1307" s="211"/>
      <c r="K1307" s="211"/>
      <c r="L1307" s="211"/>
      <c r="M1307" s="211"/>
      <c r="N1307" s="211"/>
    </row>
    <row r="1308" spans="1:14">
      <c r="A1308" s="211"/>
      <c r="B1308" s="211"/>
      <c r="C1308" s="211"/>
      <c r="D1308" s="211"/>
      <c r="E1308" s="211"/>
      <c r="F1308" s="211"/>
      <c r="G1308" s="211"/>
      <c r="H1308" s="211"/>
      <c r="I1308" s="211"/>
      <c r="J1308" s="211"/>
      <c r="K1308" s="211"/>
      <c r="L1308" s="211"/>
      <c r="M1308" s="211"/>
      <c r="N1308" s="211"/>
    </row>
    <row r="1309" spans="1:14">
      <c r="A1309" s="211"/>
      <c r="B1309" s="211"/>
      <c r="C1309" s="211"/>
      <c r="D1309" s="211"/>
      <c r="E1309" s="211"/>
      <c r="F1309" s="211"/>
      <c r="G1309" s="211"/>
      <c r="H1309" s="211"/>
      <c r="I1309" s="211"/>
      <c r="J1309" s="211"/>
      <c r="K1309" s="211"/>
      <c r="L1309" s="211"/>
      <c r="M1309" s="211"/>
      <c r="N1309" s="211"/>
    </row>
    <row r="1310" spans="1:14">
      <c r="A1310" s="211"/>
      <c r="B1310" s="211"/>
      <c r="C1310" s="211"/>
      <c r="D1310" s="211"/>
      <c r="E1310" s="211"/>
      <c r="F1310" s="211"/>
      <c r="G1310" s="211"/>
      <c r="H1310" s="211"/>
      <c r="I1310" s="211"/>
      <c r="J1310" s="211"/>
      <c r="K1310" s="211"/>
      <c r="L1310" s="211"/>
      <c r="M1310" s="211"/>
      <c r="N1310" s="211"/>
    </row>
    <row r="1311" spans="1:14">
      <c r="A1311" s="211"/>
      <c r="B1311" s="211"/>
      <c r="C1311" s="211"/>
      <c r="D1311" s="211"/>
      <c r="E1311" s="211"/>
      <c r="F1311" s="211"/>
      <c r="G1311" s="211"/>
      <c r="H1311" s="211"/>
      <c r="I1311" s="211"/>
      <c r="J1311" s="211"/>
      <c r="K1311" s="211"/>
      <c r="L1311" s="211"/>
      <c r="M1311" s="211"/>
      <c r="N1311" s="211"/>
    </row>
    <row r="1312" spans="1:14">
      <c r="A1312" s="211"/>
      <c r="B1312" s="211"/>
      <c r="C1312" s="211"/>
      <c r="D1312" s="211"/>
      <c r="E1312" s="211"/>
      <c r="F1312" s="211"/>
      <c r="G1312" s="211"/>
      <c r="H1312" s="211"/>
      <c r="I1312" s="211"/>
      <c r="J1312" s="211"/>
      <c r="K1312" s="211"/>
      <c r="L1312" s="211"/>
      <c r="M1312" s="211"/>
      <c r="N1312" s="211"/>
    </row>
    <row r="1313" spans="1:14">
      <c r="A1313" s="211"/>
      <c r="B1313" s="211"/>
      <c r="C1313" s="211"/>
      <c r="D1313" s="211"/>
      <c r="E1313" s="211"/>
      <c r="F1313" s="211"/>
      <c r="G1313" s="211"/>
      <c r="H1313" s="211"/>
      <c r="I1313" s="211"/>
      <c r="J1313" s="211"/>
      <c r="K1313" s="211"/>
      <c r="L1313" s="211"/>
      <c r="M1313" s="211"/>
      <c r="N1313" s="211"/>
    </row>
    <row r="1314" spans="1:14">
      <c r="A1314" s="211"/>
      <c r="B1314" s="211"/>
      <c r="C1314" s="211"/>
      <c r="D1314" s="211"/>
      <c r="E1314" s="211"/>
      <c r="F1314" s="211"/>
      <c r="G1314" s="211"/>
      <c r="H1314" s="211"/>
      <c r="I1314" s="211"/>
      <c r="J1314" s="211"/>
      <c r="K1314" s="211"/>
      <c r="L1314" s="211"/>
      <c r="M1314" s="211"/>
      <c r="N1314" s="211"/>
    </row>
    <row r="1315" spans="1:14">
      <c r="A1315" s="211"/>
      <c r="B1315" s="211"/>
      <c r="C1315" s="211"/>
      <c r="D1315" s="211"/>
      <c r="E1315" s="211"/>
      <c r="F1315" s="211"/>
      <c r="G1315" s="211"/>
      <c r="H1315" s="211"/>
      <c r="I1315" s="211"/>
      <c r="J1315" s="211"/>
      <c r="K1315" s="211"/>
      <c r="L1315" s="211"/>
      <c r="M1315" s="211"/>
      <c r="N1315" s="211"/>
    </row>
    <row r="1316" spans="1:14">
      <c r="A1316" s="211"/>
      <c r="B1316" s="211"/>
      <c r="C1316" s="211"/>
      <c r="D1316" s="211"/>
      <c r="E1316" s="211"/>
      <c r="F1316" s="211"/>
      <c r="G1316" s="211"/>
      <c r="H1316" s="211"/>
      <c r="I1316" s="211"/>
      <c r="J1316" s="211"/>
      <c r="K1316" s="211"/>
      <c r="L1316" s="211"/>
      <c r="M1316" s="211"/>
      <c r="N1316" s="211"/>
    </row>
    <row r="1317" spans="1:14">
      <c r="A1317" s="211"/>
      <c r="B1317" s="211"/>
      <c r="C1317" s="211"/>
      <c r="D1317" s="211"/>
      <c r="E1317" s="211"/>
      <c r="F1317" s="211"/>
      <c r="G1317" s="211"/>
      <c r="H1317" s="211"/>
      <c r="I1317" s="211"/>
      <c r="J1317" s="211"/>
      <c r="K1317" s="211"/>
      <c r="L1317" s="211"/>
      <c r="M1317" s="211"/>
      <c r="N1317" s="211"/>
    </row>
    <row r="1318" spans="1:14">
      <c r="A1318" s="211"/>
      <c r="B1318" s="211"/>
      <c r="C1318" s="211"/>
      <c r="D1318" s="211"/>
      <c r="E1318" s="211"/>
      <c r="F1318" s="211"/>
      <c r="G1318" s="211"/>
      <c r="H1318" s="211"/>
      <c r="I1318" s="211"/>
      <c r="J1318" s="211"/>
      <c r="K1318" s="211"/>
      <c r="L1318" s="211"/>
      <c r="M1318" s="211"/>
      <c r="N1318" s="211"/>
    </row>
    <row r="1319" spans="1:14">
      <c r="A1319" s="211"/>
      <c r="B1319" s="211"/>
      <c r="C1319" s="211"/>
      <c r="D1319" s="211"/>
      <c r="E1319" s="211"/>
      <c r="F1319" s="211"/>
      <c r="G1319" s="211"/>
      <c r="H1319" s="211"/>
      <c r="I1319" s="211"/>
      <c r="J1319" s="211"/>
      <c r="K1319" s="211"/>
      <c r="L1319" s="211"/>
      <c r="M1319" s="211"/>
      <c r="N1319" s="211"/>
    </row>
    <row r="1320" spans="1:14">
      <c r="A1320" s="211"/>
      <c r="B1320" s="211"/>
      <c r="C1320" s="211"/>
      <c r="D1320" s="211"/>
      <c r="E1320" s="211"/>
      <c r="F1320" s="211"/>
      <c r="G1320" s="211"/>
      <c r="H1320" s="211"/>
      <c r="I1320" s="211"/>
      <c r="J1320" s="211"/>
      <c r="K1320" s="211"/>
      <c r="L1320" s="211"/>
      <c r="M1320" s="211"/>
      <c r="N1320" s="211"/>
    </row>
    <row r="1321" spans="1:14">
      <c r="A1321" s="211"/>
      <c r="B1321" s="211"/>
      <c r="C1321" s="211"/>
      <c r="D1321" s="211"/>
      <c r="E1321" s="211"/>
      <c r="F1321" s="211"/>
      <c r="G1321" s="211"/>
      <c r="H1321" s="211"/>
      <c r="I1321" s="211"/>
      <c r="J1321" s="211"/>
      <c r="K1321" s="211"/>
      <c r="L1321" s="211"/>
      <c r="M1321" s="211"/>
      <c r="N1321" s="211"/>
    </row>
    <row r="1322" spans="1:14">
      <c r="A1322" s="211"/>
      <c r="B1322" s="211"/>
      <c r="C1322" s="211"/>
      <c r="D1322" s="211"/>
      <c r="E1322" s="211"/>
      <c r="F1322" s="211"/>
      <c r="G1322" s="211"/>
      <c r="H1322" s="211"/>
      <c r="I1322" s="211"/>
      <c r="J1322" s="211"/>
      <c r="K1322" s="211"/>
      <c r="L1322" s="211"/>
      <c r="M1322" s="211"/>
      <c r="N1322" s="211"/>
    </row>
    <row r="1323" spans="1:14">
      <c r="A1323" s="211"/>
      <c r="B1323" s="211"/>
      <c r="C1323" s="211"/>
      <c r="D1323" s="211"/>
      <c r="E1323" s="211"/>
      <c r="F1323" s="211"/>
      <c r="G1323" s="211"/>
      <c r="H1323" s="211"/>
      <c r="I1323" s="211"/>
      <c r="J1323" s="211"/>
      <c r="K1323" s="211"/>
      <c r="L1323" s="211"/>
      <c r="M1323" s="211"/>
      <c r="N1323" s="211"/>
    </row>
    <row r="1324" spans="1:14">
      <c r="A1324" s="211"/>
      <c r="B1324" s="211"/>
      <c r="C1324" s="211"/>
      <c r="D1324" s="211"/>
      <c r="E1324" s="211"/>
      <c r="F1324" s="211"/>
      <c r="G1324" s="211"/>
      <c r="H1324" s="211"/>
      <c r="I1324" s="211"/>
      <c r="J1324" s="211"/>
      <c r="K1324" s="211"/>
      <c r="L1324" s="211"/>
      <c r="M1324" s="211"/>
      <c r="N1324" s="211"/>
    </row>
    <row r="1325" spans="1:14">
      <c r="A1325" s="211"/>
      <c r="B1325" s="211"/>
      <c r="C1325" s="211"/>
      <c r="D1325" s="211"/>
      <c r="E1325" s="211"/>
      <c r="F1325" s="211"/>
      <c r="G1325" s="211"/>
      <c r="H1325" s="211"/>
      <c r="I1325" s="211"/>
      <c r="J1325" s="211"/>
      <c r="K1325" s="211"/>
      <c r="L1325" s="211"/>
      <c r="M1325" s="211"/>
      <c r="N1325" s="211"/>
    </row>
    <row r="1326" spans="1:14">
      <c r="A1326" s="211"/>
      <c r="B1326" s="211"/>
      <c r="C1326" s="211"/>
      <c r="D1326" s="211"/>
      <c r="E1326" s="211"/>
      <c r="F1326" s="211"/>
      <c r="G1326" s="211"/>
      <c r="H1326" s="211"/>
      <c r="I1326" s="211"/>
      <c r="J1326" s="211"/>
      <c r="K1326" s="211"/>
      <c r="L1326" s="211"/>
      <c r="M1326" s="211"/>
      <c r="N1326" s="211"/>
    </row>
    <row r="1327" spans="1:14">
      <c r="A1327" s="211"/>
      <c r="B1327" s="211"/>
      <c r="C1327" s="211"/>
      <c r="D1327" s="211"/>
      <c r="E1327" s="211"/>
      <c r="F1327" s="211"/>
      <c r="G1327" s="211"/>
      <c r="H1327" s="211"/>
      <c r="I1327" s="211"/>
      <c r="J1327" s="211"/>
      <c r="K1327" s="211"/>
      <c r="L1327" s="211"/>
      <c r="M1327" s="211"/>
      <c r="N1327" s="211"/>
    </row>
    <row r="1328" spans="1:14">
      <c r="A1328" s="211"/>
      <c r="B1328" s="211"/>
      <c r="C1328" s="211"/>
      <c r="D1328" s="211"/>
      <c r="E1328" s="211"/>
      <c r="F1328" s="211"/>
      <c r="G1328" s="211"/>
      <c r="H1328" s="211"/>
      <c r="I1328" s="211"/>
      <c r="J1328" s="211"/>
      <c r="K1328" s="211"/>
      <c r="L1328" s="211"/>
      <c r="M1328" s="211"/>
      <c r="N1328" s="211"/>
    </row>
    <row r="1329" spans="1:14">
      <c r="A1329" s="211"/>
      <c r="B1329" s="211"/>
      <c r="C1329" s="211"/>
      <c r="D1329" s="211"/>
      <c r="E1329" s="211"/>
      <c r="F1329" s="211"/>
      <c r="G1329" s="211"/>
      <c r="H1329" s="211"/>
      <c r="I1329" s="211"/>
      <c r="J1329" s="211"/>
      <c r="K1329" s="211"/>
      <c r="L1329" s="211"/>
      <c r="M1329" s="211"/>
      <c r="N1329" s="211"/>
    </row>
    <row r="1330" spans="1:14">
      <c r="A1330" s="211"/>
      <c r="B1330" s="211"/>
      <c r="C1330" s="211"/>
      <c r="D1330" s="211"/>
      <c r="E1330" s="211"/>
      <c r="F1330" s="211"/>
      <c r="G1330" s="211"/>
      <c r="H1330" s="211"/>
      <c r="I1330" s="211"/>
      <c r="J1330" s="211"/>
      <c r="K1330" s="211"/>
      <c r="L1330" s="211"/>
      <c r="M1330" s="211"/>
      <c r="N1330" s="211"/>
    </row>
    <row r="1331" spans="1:14">
      <c r="A1331" s="211"/>
      <c r="B1331" s="211"/>
      <c r="C1331" s="211"/>
      <c r="D1331" s="211"/>
      <c r="E1331" s="211"/>
      <c r="F1331" s="211"/>
      <c r="G1331" s="211"/>
      <c r="H1331" s="211"/>
      <c r="I1331" s="211"/>
      <c r="J1331" s="211"/>
      <c r="K1331" s="211"/>
      <c r="L1331" s="211"/>
      <c r="M1331" s="211"/>
      <c r="N1331" s="211"/>
    </row>
    <row r="1332" spans="1:14">
      <c r="A1332" s="211"/>
      <c r="B1332" s="211"/>
      <c r="C1332" s="211"/>
      <c r="D1332" s="211"/>
      <c r="E1332" s="211"/>
      <c r="F1332" s="211"/>
      <c r="G1332" s="211"/>
      <c r="H1332" s="211"/>
      <c r="I1332" s="211"/>
      <c r="J1332" s="211"/>
      <c r="K1332" s="211"/>
      <c r="L1332" s="211"/>
      <c r="M1332" s="211"/>
      <c r="N1332" s="211"/>
    </row>
    <row r="1333" spans="1:14">
      <c r="A1333" s="211"/>
      <c r="B1333" s="211"/>
      <c r="C1333" s="211"/>
      <c r="D1333" s="211"/>
      <c r="E1333" s="211"/>
      <c r="F1333" s="211"/>
      <c r="G1333" s="211"/>
      <c r="H1333" s="211"/>
      <c r="I1333" s="211"/>
      <c r="J1333" s="211"/>
      <c r="K1333" s="211"/>
      <c r="L1333" s="211"/>
      <c r="M1333" s="211"/>
      <c r="N1333" s="211"/>
    </row>
    <row r="1334" spans="1:14">
      <c r="A1334" s="211"/>
      <c r="B1334" s="211"/>
      <c r="C1334" s="211"/>
      <c r="D1334" s="211"/>
      <c r="E1334" s="211"/>
      <c r="F1334" s="211"/>
      <c r="G1334" s="211"/>
      <c r="H1334" s="211"/>
      <c r="I1334" s="211"/>
      <c r="J1334" s="211"/>
      <c r="K1334" s="211"/>
      <c r="L1334" s="211"/>
      <c r="M1334" s="211"/>
      <c r="N1334" s="211"/>
    </row>
    <row r="1335" spans="1:14">
      <c r="A1335" s="211"/>
      <c r="B1335" s="211"/>
      <c r="C1335" s="211"/>
      <c r="D1335" s="211"/>
      <c r="E1335" s="211"/>
      <c r="F1335" s="211"/>
      <c r="G1335" s="211"/>
      <c r="H1335" s="211"/>
      <c r="I1335" s="211"/>
      <c r="J1335" s="211"/>
      <c r="K1335" s="211"/>
      <c r="L1335" s="211"/>
      <c r="M1335" s="211"/>
      <c r="N1335" s="211"/>
    </row>
    <row r="1336" spans="1:14">
      <c r="A1336" s="211"/>
      <c r="B1336" s="211"/>
      <c r="C1336" s="211"/>
      <c r="D1336" s="211"/>
      <c r="E1336" s="211"/>
      <c r="F1336" s="211"/>
      <c r="G1336" s="211"/>
      <c r="H1336" s="211"/>
      <c r="I1336" s="211"/>
      <c r="J1336" s="211"/>
      <c r="K1336" s="211"/>
      <c r="L1336" s="211"/>
      <c r="M1336" s="211"/>
      <c r="N1336" s="211"/>
    </row>
    <row r="1337" spans="1:14">
      <c r="A1337" s="211"/>
      <c r="B1337" s="211"/>
      <c r="C1337" s="211"/>
      <c r="D1337" s="211"/>
      <c r="E1337" s="211"/>
      <c r="F1337" s="211"/>
      <c r="G1337" s="211"/>
      <c r="H1337" s="211"/>
      <c r="I1337" s="211"/>
      <c r="J1337" s="211"/>
      <c r="K1337" s="211"/>
      <c r="L1337" s="211"/>
      <c r="M1337" s="211"/>
      <c r="N1337" s="211"/>
    </row>
    <row r="1338" spans="1:14">
      <c r="A1338" s="211"/>
      <c r="B1338" s="211"/>
      <c r="C1338" s="211"/>
      <c r="D1338" s="211"/>
      <c r="E1338" s="211"/>
      <c r="F1338" s="211"/>
      <c r="G1338" s="211"/>
      <c r="H1338" s="211"/>
      <c r="I1338" s="211"/>
      <c r="J1338" s="211"/>
      <c r="K1338" s="211"/>
      <c r="L1338" s="211"/>
      <c r="M1338" s="211"/>
      <c r="N1338" s="211"/>
    </row>
    <row r="1339" spans="1:14">
      <c r="A1339" s="211"/>
      <c r="B1339" s="211"/>
      <c r="C1339" s="211"/>
      <c r="D1339" s="211"/>
      <c r="E1339" s="211"/>
      <c r="F1339" s="211"/>
      <c r="G1339" s="211"/>
      <c r="H1339" s="211"/>
      <c r="I1339" s="211"/>
      <c r="J1339" s="211"/>
      <c r="K1339" s="211"/>
      <c r="L1339" s="211"/>
      <c r="M1339" s="211"/>
      <c r="N1339" s="211"/>
    </row>
    <row r="1340" spans="1:14">
      <c r="A1340" s="211"/>
      <c r="B1340" s="211"/>
      <c r="C1340" s="211"/>
      <c r="D1340" s="211"/>
      <c r="E1340" s="211"/>
      <c r="F1340" s="211"/>
      <c r="G1340" s="211"/>
      <c r="H1340" s="211"/>
      <c r="I1340" s="211"/>
      <c r="J1340" s="211"/>
      <c r="K1340" s="211"/>
      <c r="L1340" s="211"/>
      <c r="M1340" s="211"/>
      <c r="N1340" s="211"/>
    </row>
    <row r="1341" spans="1:14">
      <c r="A1341" s="211"/>
      <c r="B1341" s="211"/>
      <c r="C1341" s="211"/>
      <c r="D1341" s="211"/>
      <c r="E1341" s="211"/>
      <c r="F1341" s="211"/>
      <c r="G1341" s="211"/>
      <c r="H1341" s="211"/>
      <c r="I1341" s="211"/>
      <c r="J1341" s="211"/>
      <c r="K1341" s="211"/>
      <c r="L1341" s="211"/>
      <c r="M1341" s="211"/>
      <c r="N1341" s="211"/>
    </row>
    <row r="1342" spans="1:14">
      <c r="A1342" s="211"/>
      <c r="B1342" s="211"/>
      <c r="C1342" s="211"/>
      <c r="D1342" s="211"/>
      <c r="E1342" s="211"/>
      <c r="F1342" s="211"/>
      <c r="G1342" s="211"/>
      <c r="H1342" s="211"/>
      <c r="I1342" s="211"/>
      <c r="J1342" s="211"/>
      <c r="K1342" s="211"/>
      <c r="L1342" s="211"/>
      <c r="M1342" s="211"/>
      <c r="N1342" s="211"/>
    </row>
    <row r="1343" spans="1:14">
      <c r="A1343" s="211"/>
      <c r="B1343" s="211"/>
      <c r="C1343" s="211"/>
      <c r="D1343" s="211"/>
      <c r="E1343" s="211"/>
      <c r="F1343" s="211"/>
      <c r="G1343" s="211"/>
      <c r="H1343" s="211"/>
      <c r="I1343" s="211"/>
      <c r="J1343" s="211"/>
      <c r="K1343" s="211"/>
      <c r="L1343" s="211"/>
      <c r="M1343" s="211"/>
      <c r="N1343" s="211"/>
    </row>
    <row r="1344" spans="1:14">
      <c r="A1344" s="211"/>
      <c r="B1344" s="211"/>
      <c r="C1344" s="211"/>
      <c r="D1344" s="211"/>
      <c r="E1344" s="211"/>
      <c r="F1344" s="211"/>
      <c r="G1344" s="211"/>
      <c r="H1344" s="211"/>
      <c r="I1344" s="211"/>
      <c r="J1344" s="211"/>
      <c r="K1344" s="211"/>
      <c r="L1344" s="211"/>
      <c r="M1344" s="211"/>
      <c r="N1344" s="211"/>
    </row>
    <row r="1345" spans="1:14">
      <c r="A1345" s="211"/>
      <c r="B1345" s="211"/>
      <c r="C1345" s="211"/>
      <c r="D1345" s="211"/>
      <c r="E1345" s="211"/>
      <c r="F1345" s="211"/>
      <c r="G1345" s="211"/>
      <c r="H1345" s="211"/>
      <c r="I1345" s="211"/>
      <c r="J1345" s="211"/>
      <c r="K1345" s="211"/>
      <c r="L1345" s="211"/>
      <c r="M1345" s="211"/>
      <c r="N1345" s="211"/>
    </row>
    <row r="1346" spans="1:14">
      <c r="A1346" s="211"/>
      <c r="B1346" s="211"/>
      <c r="C1346" s="211"/>
      <c r="D1346" s="211"/>
      <c r="E1346" s="211"/>
      <c r="F1346" s="211"/>
      <c r="G1346" s="211"/>
      <c r="H1346" s="211"/>
      <c r="I1346" s="211"/>
      <c r="J1346" s="211"/>
      <c r="K1346" s="211"/>
      <c r="L1346" s="211"/>
      <c r="M1346" s="211"/>
      <c r="N1346" s="211"/>
    </row>
    <row r="1347" spans="1:14">
      <c r="A1347" s="211"/>
      <c r="B1347" s="211"/>
      <c r="C1347" s="211"/>
      <c r="D1347" s="211"/>
      <c r="E1347" s="211"/>
      <c r="F1347" s="211"/>
      <c r="G1347" s="211"/>
      <c r="H1347" s="211"/>
      <c r="I1347" s="211"/>
      <c r="J1347" s="211"/>
      <c r="K1347" s="211"/>
      <c r="L1347" s="211"/>
      <c r="M1347" s="211"/>
      <c r="N1347" s="211"/>
    </row>
    <row r="1348" spans="1:14">
      <c r="A1348" s="211"/>
      <c r="B1348" s="211"/>
      <c r="C1348" s="211"/>
      <c r="D1348" s="211"/>
      <c r="E1348" s="211"/>
      <c r="F1348" s="211"/>
      <c r="G1348" s="211"/>
      <c r="H1348" s="211"/>
      <c r="I1348" s="211"/>
      <c r="J1348" s="211"/>
      <c r="K1348" s="211"/>
      <c r="L1348" s="211"/>
      <c r="M1348" s="211"/>
      <c r="N1348" s="211"/>
    </row>
    <row r="1349" spans="1:14">
      <c r="A1349" s="211"/>
      <c r="B1349" s="211"/>
      <c r="C1349" s="211"/>
      <c r="D1349" s="211"/>
      <c r="E1349" s="211"/>
      <c r="F1349" s="211"/>
      <c r="G1349" s="211"/>
      <c r="H1349" s="211"/>
      <c r="I1349" s="211"/>
      <c r="J1349" s="211"/>
      <c r="K1349" s="211"/>
      <c r="L1349" s="211"/>
      <c r="M1349" s="211"/>
      <c r="N1349" s="211"/>
    </row>
    <row r="1350" spans="1:14">
      <c r="A1350" s="211"/>
      <c r="B1350" s="211"/>
      <c r="C1350" s="211"/>
      <c r="D1350" s="211"/>
      <c r="E1350" s="211"/>
      <c r="F1350" s="211"/>
      <c r="G1350" s="211"/>
      <c r="H1350" s="211"/>
      <c r="I1350" s="211"/>
      <c r="J1350" s="211"/>
      <c r="K1350" s="211"/>
      <c r="L1350" s="211"/>
      <c r="M1350" s="211"/>
      <c r="N1350" s="211"/>
    </row>
    <row r="1351" spans="1:14">
      <c r="A1351" s="211"/>
      <c r="B1351" s="211"/>
      <c r="C1351" s="211"/>
      <c r="D1351" s="211"/>
      <c r="E1351" s="211"/>
      <c r="F1351" s="211"/>
      <c r="G1351" s="211"/>
      <c r="H1351" s="211"/>
      <c r="I1351" s="211"/>
      <c r="J1351" s="211"/>
      <c r="K1351" s="211"/>
      <c r="L1351" s="211"/>
      <c r="M1351" s="211"/>
      <c r="N1351" s="211"/>
    </row>
    <row r="1352" spans="1:14">
      <c r="A1352" s="211"/>
      <c r="B1352" s="211"/>
      <c r="C1352" s="211"/>
      <c r="D1352" s="211"/>
      <c r="E1352" s="211"/>
      <c r="F1352" s="211"/>
      <c r="G1352" s="211"/>
      <c r="H1352" s="211"/>
      <c r="I1352" s="211"/>
      <c r="J1352" s="211"/>
      <c r="K1352" s="211"/>
      <c r="L1352" s="211"/>
      <c r="M1352" s="211"/>
      <c r="N1352" s="211"/>
    </row>
    <row r="1353" spans="1:14">
      <c r="A1353" s="211"/>
      <c r="B1353" s="211"/>
      <c r="C1353" s="211"/>
      <c r="D1353" s="211"/>
      <c r="E1353" s="211"/>
      <c r="F1353" s="211"/>
      <c r="G1353" s="211"/>
      <c r="H1353" s="211"/>
      <c r="I1353" s="211"/>
      <c r="J1353" s="211"/>
      <c r="K1353" s="211"/>
      <c r="L1353" s="211"/>
      <c r="M1353" s="211"/>
      <c r="N1353" s="211"/>
    </row>
    <row r="1354" spans="1:14">
      <c r="A1354" s="211"/>
      <c r="B1354" s="211"/>
      <c r="C1354" s="211"/>
      <c r="D1354" s="211"/>
      <c r="E1354" s="211"/>
      <c r="F1354" s="211"/>
      <c r="G1354" s="211"/>
      <c r="H1354" s="211"/>
      <c r="I1354" s="211"/>
      <c r="J1354" s="211"/>
      <c r="K1354" s="211"/>
      <c r="L1354" s="211"/>
      <c r="M1354" s="211"/>
      <c r="N1354" s="211"/>
    </row>
    <row r="1355" spans="1:14">
      <c r="A1355" s="211"/>
      <c r="B1355" s="211"/>
      <c r="C1355" s="211"/>
      <c r="D1355" s="211"/>
      <c r="E1355" s="211"/>
      <c r="F1355" s="211"/>
      <c r="G1355" s="211"/>
      <c r="H1355" s="211"/>
      <c r="I1355" s="211"/>
      <c r="J1355" s="211"/>
      <c r="K1355" s="211"/>
      <c r="L1355" s="211"/>
      <c r="M1355" s="211"/>
      <c r="N1355" s="211"/>
    </row>
    <row r="1356" spans="1:14">
      <c r="A1356" s="211"/>
      <c r="B1356" s="211"/>
      <c r="C1356" s="211"/>
      <c r="D1356" s="211"/>
      <c r="E1356" s="211"/>
      <c r="F1356" s="211"/>
      <c r="G1356" s="211"/>
      <c r="H1356" s="211"/>
      <c r="I1356" s="211"/>
      <c r="J1356" s="211"/>
      <c r="K1356" s="211"/>
      <c r="L1356" s="211"/>
      <c r="M1356" s="211"/>
      <c r="N1356" s="211"/>
    </row>
    <row r="1357" spans="1:14">
      <c r="A1357" s="211"/>
      <c r="B1357" s="211"/>
      <c r="C1357" s="211"/>
      <c r="D1357" s="211"/>
      <c r="E1357" s="211"/>
      <c r="F1357" s="211"/>
      <c r="G1357" s="211"/>
      <c r="H1357" s="211"/>
      <c r="I1357" s="211"/>
      <c r="J1357" s="211"/>
      <c r="K1357" s="211"/>
      <c r="L1357" s="211"/>
      <c r="M1357" s="211"/>
      <c r="N1357" s="211"/>
    </row>
    <row r="1358" spans="1:14">
      <c r="A1358" s="211"/>
      <c r="B1358" s="211"/>
      <c r="C1358" s="211"/>
      <c r="D1358" s="211"/>
      <c r="E1358" s="211"/>
      <c r="F1358" s="211"/>
      <c r="G1358" s="211"/>
      <c r="H1358" s="211"/>
      <c r="I1358" s="211"/>
      <c r="J1358" s="211"/>
      <c r="K1358" s="211"/>
      <c r="L1358" s="211"/>
      <c r="M1358" s="211"/>
      <c r="N1358" s="211"/>
    </row>
    <row r="1359" spans="1:14">
      <c r="A1359" s="211"/>
      <c r="B1359" s="211"/>
      <c r="C1359" s="211"/>
      <c r="D1359" s="211"/>
      <c r="E1359" s="211"/>
      <c r="F1359" s="211"/>
      <c r="G1359" s="211"/>
      <c r="H1359" s="211"/>
      <c r="I1359" s="211"/>
      <c r="J1359" s="211"/>
      <c r="K1359" s="211"/>
      <c r="L1359" s="211"/>
      <c r="M1359" s="211"/>
      <c r="N1359" s="211"/>
    </row>
    <row r="1360" spans="1:14">
      <c r="A1360" s="211"/>
      <c r="B1360" s="211"/>
      <c r="C1360" s="211"/>
      <c r="D1360" s="211"/>
      <c r="E1360" s="211"/>
      <c r="F1360" s="211"/>
      <c r="G1360" s="211"/>
      <c r="H1360" s="211"/>
      <c r="I1360" s="211"/>
      <c r="J1360" s="211"/>
      <c r="K1360" s="211"/>
      <c r="L1360" s="211"/>
      <c r="M1360" s="211"/>
      <c r="N1360" s="211"/>
    </row>
    <row r="1361" spans="1:14">
      <c r="A1361" s="211"/>
      <c r="B1361" s="211"/>
      <c r="C1361" s="211"/>
      <c r="D1361" s="211"/>
      <c r="E1361" s="211"/>
      <c r="F1361" s="211"/>
      <c r="G1361" s="211"/>
      <c r="H1361" s="211"/>
      <c r="I1361" s="211"/>
      <c r="J1361" s="211"/>
      <c r="K1361" s="211"/>
      <c r="L1361" s="211"/>
      <c r="M1361" s="211"/>
      <c r="N1361" s="211"/>
    </row>
    <row r="1362" spans="1:14">
      <c r="A1362" s="211"/>
      <c r="B1362" s="211"/>
      <c r="C1362" s="211"/>
      <c r="D1362" s="211"/>
      <c r="E1362" s="211"/>
      <c r="F1362" s="211"/>
      <c r="G1362" s="211"/>
      <c r="H1362" s="211"/>
      <c r="I1362" s="211"/>
      <c r="J1362" s="211"/>
      <c r="K1362" s="211"/>
      <c r="L1362" s="211"/>
      <c r="M1362" s="211"/>
      <c r="N1362" s="211"/>
    </row>
    <row r="1363" spans="1:14">
      <c r="A1363" s="211"/>
      <c r="B1363" s="211"/>
      <c r="C1363" s="211"/>
      <c r="D1363" s="211"/>
      <c r="E1363" s="211"/>
      <c r="F1363" s="211"/>
      <c r="G1363" s="211"/>
      <c r="H1363" s="211"/>
      <c r="I1363" s="211"/>
      <c r="J1363" s="211"/>
      <c r="K1363" s="211"/>
      <c r="L1363" s="211"/>
      <c r="M1363" s="211"/>
      <c r="N1363" s="211"/>
    </row>
    <row r="1364" spans="1:14">
      <c r="A1364" s="211"/>
      <c r="B1364" s="211"/>
      <c r="C1364" s="211"/>
      <c r="D1364" s="211"/>
      <c r="E1364" s="211"/>
      <c r="F1364" s="211"/>
      <c r="G1364" s="211"/>
      <c r="H1364" s="211"/>
      <c r="I1364" s="211"/>
      <c r="J1364" s="211"/>
      <c r="K1364" s="211"/>
      <c r="L1364" s="211"/>
      <c r="M1364" s="211"/>
      <c r="N1364" s="211"/>
    </row>
    <row r="1365" spans="1:14">
      <c r="A1365" s="211"/>
      <c r="B1365" s="211"/>
      <c r="C1365" s="211"/>
      <c r="D1365" s="211"/>
      <c r="E1365" s="211"/>
      <c r="F1365" s="211"/>
      <c r="G1365" s="211"/>
      <c r="H1365" s="211"/>
      <c r="I1365" s="211"/>
      <c r="J1365" s="211"/>
      <c r="K1365" s="211"/>
      <c r="L1365" s="211"/>
      <c r="M1365" s="211"/>
      <c r="N1365" s="211"/>
    </row>
    <row r="1366" spans="1:14">
      <c r="A1366" s="211"/>
      <c r="B1366" s="211"/>
      <c r="C1366" s="211"/>
      <c r="D1366" s="211"/>
      <c r="E1366" s="211"/>
      <c r="F1366" s="211"/>
      <c r="G1366" s="211"/>
      <c r="H1366" s="211"/>
      <c r="I1366" s="211"/>
      <c r="J1366" s="211"/>
      <c r="K1366" s="211"/>
      <c r="L1366" s="211"/>
      <c r="M1366" s="211"/>
      <c r="N1366" s="211"/>
    </row>
    <row r="1367" spans="1:14">
      <c r="A1367" s="211"/>
      <c r="B1367" s="211"/>
      <c r="C1367" s="211"/>
      <c r="D1367" s="211"/>
      <c r="E1367" s="211"/>
      <c r="F1367" s="211"/>
      <c r="G1367" s="211"/>
      <c r="H1367" s="211"/>
      <c r="I1367" s="211"/>
      <c r="J1367" s="211"/>
      <c r="K1367" s="211"/>
      <c r="L1367" s="211"/>
      <c r="M1367" s="211"/>
      <c r="N1367" s="211"/>
    </row>
    <row r="1368" spans="1:14">
      <c r="A1368" s="211"/>
      <c r="B1368" s="211"/>
      <c r="C1368" s="211"/>
      <c r="D1368" s="211"/>
      <c r="E1368" s="211"/>
      <c r="F1368" s="211"/>
      <c r="G1368" s="211"/>
      <c r="H1368" s="211"/>
      <c r="I1368" s="211"/>
      <c r="J1368" s="211"/>
      <c r="K1368" s="211"/>
      <c r="L1368" s="211"/>
      <c r="M1368" s="211"/>
      <c r="N1368" s="211"/>
    </row>
    <row r="1369" spans="1:14">
      <c r="A1369" s="211"/>
      <c r="B1369" s="211"/>
      <c r="C1369" s="211"/>
      <c r="D1369" s="211"/>
      <c r="E1369" s="211"/>
      <c r="F1369" s="211"/>
      <c r="G1369" s="211"/>
      <c r="H1369" s="211"/>
      <c r="I1369" s="211"/>
      <c r="J1369" s="211"/>
      <c r="K1369" s="211"/>
      <c r="L1369" s="211"/>
      <c r="M1369" s="211"/>
      <c r="N1369" s="211"/>
    </row>
    <row r="1370" spans="1:14">
      <c r="A1370" s="211"/>
      <c r="B1370" s="211"/>
      <c r="C1370" s="211"/>
      <c r="D1370" s="211"/>
      <c r="E1370" s="211"/>
      <c r="F1370" s="211"/>
      <c r="G1370" s="211"/>
      <c r="H1370" s="211"/>
      <c r="I1370" s="211"/>
      <c r="J1370" s="211"/>
      <c r="K1370" s="211"/>
      <c r="L1370" s="211"/>
      <c r="M1370" s="211"/>
      <c r="N1370" s="211"/>
    </row>
    <row r="1371" spans="1:14">
      <c r="A1371" s="211"/>
      <c r="B1371" s="211"/>
      <c r="C1371" s="211"/>
      <c r="D1371" s="211"/>
      <c r="E1371" s="211"/>
      <c r="F1371" s="211"/>
      <c r="G1371" s="211"/>
      <c r="H1371" s="211"/>
      <c r="I1371" s="211"/>
      <c r="J1371" s="211"/>
      <c r="K1371" s="211"/>
      <c r="L1371" s="211"/>
      <c r="M1371" s="211"/>
      <c r="N1371" s="211"/>
    </row>
    <row r="1372" spans="1:14">
      <c r="A1372" s="211"/>
      <c r="B1372" s="211"/>
      <c r="C1372" s="211"/>
      <c r="D1372" s="211"/>
      <c r="E1372" s="211"/>
      <c r="F1372" s="211"/>
      <c r="G1372" s="211"/>
      <c r="H1372" s="211"/>
      <c r="I1372" s="211"/>
      <c r="J1372" s="211"/>
      <c r="K1372" s="211"/>
      <c r="L1372" s="211"/>
      <c r="M1372" s="211"/>
      <c r="N1372" s="211"/>
    </row>
    <row r="1373" spans="1:14">
      <c r="A1373" s="211"/>
      <c r="B1373" s="211"/>
      <c r="C1373" s="211"/>
      <c r="D1373" s="211"/>
      <c r="E1373" s="211"/>
      <c r="F1373" s="211"/>
      <c r="G1373" s="211"/>
      <c r="H1373" s="211"/>
      <c r="I1373" s="211"/>
      <c r="J1373" s="211"/>
      <c r="K1373" s="211"/>
      <c r="L1373" s="211"/>
      <c r="M1373" s="211"/>
      <c r="N1373" s="211"/>
    </row>
    <row r="1374" spans="1:14">
      <c r="A1374" s="211"/>
      <c r="B1374" s="211"/>
      <c r="C1374" s="211"/>
      <c r="D1374" s="211"/>
      <c r="E1374" s="211"/>
      <c r="F1374" s="211"/>
      <c r="G1374" s="211"/>
      <c r="H1374" s="211"/>
      <c r="I1374" s="211"/>
      <c r="J1374" s="211"/>
      <c r="K1374" s="211"/>
      <c r="L1374" s="211"/>
      <c r="M1374" s="211"/>
      <c r="N1374" s="211"/>
    </row>
    <row r="1375" spans="1:14">
      <c r="A1375" s="211"/>
      <c r="B1375" s="211"/>
      <c r="C1375" s="211"/>
      <c r="D1375" s="211"/>
      <c r="E1375" s="211"/>
      <c r="F1375" s="211"/>
      <c r="G1375" s="211"/>
      <c r="H1375" s="211"/>
      <c r="I1375" s="211"/>
      <c r="J1375" s="211"/>
      <c r="K1375" s="211"/>
      <c r="L1375" s="211"/>
      <c r="M1375" s="211"/>
      <c r="N1375" s="211"/>
    </row>
    <row r="1376" spans="1:14">
      <c r="A1376" s="211"/>
      <c r="B1376" s="211"/>
      <c r="C1376" s="211"/>
      <c r="D1376" s="211"/>
      <c r="E1376" s="211"/>
      <c r="F1376" s="211"/>
      <c r="G1376" s="211"/>
      <c r="H1376" s="211"/>
      <c r="I1376" s="211"/>
      <c r="J1376" s="211"/>
      <c r="K1376" s="211"/>
      <c r="L1376" s="211"/>
      <c r="M1376" s="211"/>
      <c r="N1376" s="211"/>
    </row>
    <row r="1377" spans="1:14">
      <c r="A1377" s="211"/>
      <c r="B1377" s="211"/>
      <c r="C1377" s="211"/>
      <c r="D1377" s="211"/>
      <c r="E1377" s="211"/>
      <c r="F1377" s="211"/>
      <c r="G1377" s="211"/>
      <c r="H1377" s="211"/>
      <c r="I1377" s="211"/>
      <c r="J1377" s="211"/>
      <c r="K1377" s="211"/>
      <c r="L1377" s="211"/>
      <c r="M1377" s="211"/>
      <c r="N1377" s="211"/>
    </row>
    <row r="1378" spans="1:14">
      <c r="A1378" s="211"/>
      <c r="B1378" s="211"/>
      <c r="C1378" s="211"/>
      <c r="D1378" s="211"/>
      <c r="E1378" s="211"/>
      <c r="F1378" s="211"/>
      <c r="G1378" s="211"/>
      <c r="H1378" s="211"/>
      <c r="I1378" s="211"/>
      <c r="J1378" s="211"/>
      <c r="K1378" s="211"/>
      <c r="L1378" s="211"/>
      <c r="M1378" s="211"/>
      <c r="N1378" s="211"/>
    </row>
    <row r="1379" spans="1:14">
      <c r="A1379" s="211"/>
      <c r="B1379" s="211"/>
      <c r="C1379" s="211"/>
      <c r="D1379" s="211"/>
      <c r="E1379" s="211"/>
      <c r="F1379" s="211"/>
      <c r="G1379" s="211"/>
      <c r="H1379" s="211"/>
      <c r="I1379" s="211"/>
      <c r="J1379" s="211"/>
      <c r="K1379" s="211"/>
      <c r="L1379" s="211"/>
      <c r="M1379" s="211"/>
      <c r="N1379" s="211"/>
    </row>
    <row r="1380" spans="1:14">
      <c r="A1380" s="211"/>
      <c r="B1380" s="211"/>
      <c r="C1380" s="211"/>
      <c r="D1380" s="211"/>
      <c r="E1380" s="211"/>
      <c r="F1380" s="211"/>
      <c r="G1380" s="211"/>
      <c r="H1380" s="211"/>
      <c r="I1380" s="211"/>
      <c r="J1380" s="211"/>
      <c r="K1380" s="211"/>
      <c r="L1380" s="211"/>
      <c r="M1380" s="211"/>
      <c r="N1380" s="211"/>
    </row>
    <row r="1381" spans="1:14">
      <c r="A1381" s="211"/>
      <c r="B1381" s="211"/>
      <c r="C1381" s="211"/>
      <c r="D1381" s="211"/>
      <c r="E1381" s="211"/>
      <c r="F1381" s="211"/>
      <c r="G1381" s="211"/>
      <c r="H1381" s="211"/>
      <c r="I1381" s="211"/>
      <c r="J1381" s="211"/>
      <c r="K1381" s="211"/>
      <c r="L1381" s="211"/>
      <c r="M1381" s="211"/>
      <c r="N1381" s="211"/>
    </row>
    <row r="1382" spans="1:14">
      <c r="A1382" s="211"/>
      <c r="B1382" s="211"/>
      <c r="C1382" s="211"/>
      <c r="D1382" s="211"/>
      <c r="E1382" s="211"/>
      <c r="F1382" s="211"/>
      <c r="G1382" s="211"/>
      <c r="H1382" s="211"/>
      <c r="I1382" s="211"/>
      <c r="J1382" s="211"/>
      <c r="K1382" s="211"/>
      <c r="L1382" s="211"/>
      <c r="M1382" s="211"/>
      <c r="N1382" s="211"/>
    </row>
    <row r="1383" spans="1:14">
      <c r="A1383" s="211"/>
      <c r="B1383" s="211"/>
      <c r="C1383" s="211"/>
      <c r="D1383" s="211"/>
      <c r="E1383" s="211"/>
      <c r="F1383" s="211"/>
      <c r="G1383" s="211"/>
      <c r="H1383" s="211"/>
      <c r="I1383" s="211"/>
      <c r="J1383" s="211"/>
      <c r="K1383" s="211"/>
      <c r="L1383" s="211"/>
      <c r="M1383" s="211"/>
      <c r="N1383" s="211"/>
    </row>
    <row r="1384" spans="1:14">
      <c r="A1384" s="211"/>
      <c r="B1384" s="211"/>
      <c r="C1384" s="211"/>
      <c r="D1384" s="211"/>
      <c r="E1384" s="211"/>
      <c r="F1384" s="211"/>
      <c r="G1384" s="211"/>
      <c r="H1384" s="211"/>
      <c r="I1384" s="211"/>
      <c r="J1384" s="211"/>
      <c r="K1384" s="211"/>
      <c r="L1384" s="211"/>
      <c r="M1384" s="211"/>
      <c r="N1384" s="211"/>
    </row>
    <row r="1385" spans="1:14">
      <c r="A1385" s="211"/>
      <c r="B1385" s="211"/>
      <c r="C1385" s="211"/>
      <c r="D1385" s="211"/>
      <c r="E1385" s="211"/>
      <c r="F1385" s="211"/>
      <c r="G1385" s="211"/>
      <c r="H1385" s="211"/>
      <c r="I1385" s="211"/>
      <c r="J1385" s="211"/>
      <c r="K1385" s="211"/>
      <c r="L1385" s="211"/>
      <c r="M1385" s="211"/>
      <c r="N1385" s="211"/>
    </row>
    <row r="1386" spans="1:14">
      <c r="A1386" s="211"/>
      <c r="B1386" s="211"/>
      <c r="C1386" s="211"/>
      <c r="D1386" s="211"/>
      <c r="E1386" s="211"/>
      <c r="F1386" s="211"/>
      <c r="G1386" s="211"/>
      <c r="H1386" s="211"/>
      <c r="I1386" s="211"/>
      <c r="J1386" s="211"/>
      <c r="K1386" s="211"/>
      <c r="L1386" s="211"/>
      <c r="M1386" s="211"/>
      <c r="N1386" s="211"/>
    </row>
    <row r="1387" spans="1:14">
      <c r="A1387" s="211"/>
      <c r="B1387" s="211"/>
      <c r="C1387" s="211"/>
      <c r="D1387" s="211"/>
      <c r="E1387" s="211"/>
      <c r="F1387" s="211"/>
      <c r="G1387" s="211"/>
      <c r="H1387" s="211"/>
      <c r="I1387" s="211"/>
      <c r="J1387" s="211"/>
      <c r="K1387" s="211"/>
      <c r="L1387" s="211"/>
      <c r="M1387" s="211"/>
      <c r="N1387" s="211"/>
    </row>
    <row r="1388" spans="1:14">
      <c r="A1388" s="211"/>
      <c r="B1388" s="211"/>
      <c r="C1388" s="211"/>
      <c r="D1388" s="211"/>
      <c r="E1388" s="211"/>
      <c r="F1388" s="211"/>
      <c r="G1388" s="211"/>
      <c r="H1388" s="211"/>
      <c r="I1388" s="211"/>
      <c r="J1388" s="211"/>
      <c r="K1388" s="211"/>
      <c r="L1388" s="211"/>
      <c r="M1388" s="211"/>
      <c r="N1388" s="211"/>
    </row>
    <row r="1389" spans="1:14">
      <c r="A1389" s="211"/>
      <c r="B1389" s="211"/>
      <c r="C1389" s="211"/>
      <c r="D1389" s="211"/>
      <c r="E1389" s="211"/>
      <c r="F1389" s="211"/>
      <c r="G1389" s="211"/>
      <c r="H1389" s="211"/>
      <c r="I1389" s="211"/>
      <c r="J1389" s="211"/>
      <c r="K1389" s="211"/>
      <c r="L1389" s="211"/>
      <c r="M1389" s="211"/>
      <c r="N1389" s="211"/>
    </row>
    <row r="1390" spans="1:14">
      <c r="A1390" s="211"/>
      <c r="B1390" s="211"/>
      <c r="C1390" s="211"/>
      <c r="D1390" s="211"/>
      <c r="E1390" s="211"/>
      <c r="F1390" s="211"/>
      <c r="G1390" s="211"/>
      <c r="H1390" s="211"/>
      <c r="I1390" s="211"/>
      <c r="J1390" s="211"/>
      <c r="K1390" s="211"/>
      <c r="L1390" s="211"/>
      <c r="M1390" s="211"/>
      <c r="N1390" s="211"/>
    </row>
    <row r="1391" spans="1:14">
      <c r="A1391" s="211"/>
      <c r="B1391" s="211"/>
      <c r="C1391" s="211"/>
      <c r="D1391" s="211"/>
      <c r="E1391" s="211"/>
      <c r="F1391" s="211"/>
      <c r="G1391" s="211"/>
      <c r="H1391" s="211"/>
      <c r="I1391" s="211"/>
      <c r="J1391" s="211"/>
      <c r="K1391" s="211"/>
      <c r="L1391" s="211"/>
      <c r="M1391" s="211"/>
      <c r="N1391" s="211"/>
    </row>
    <row r="1392" spans="1:14">
      <c r="A1392" s="211"/>
      <c r="B1392" s="211"/>
      <c r="C1392" s="211"/>
      <c r="D1392" s="211"/>
      <c r="E1392" s="211"/>
      <c r="F1392" s="211"/>
      <c r="G1392" s="211"/>
      <c r="H1392" s="211"/>
      <c r="I1392" s="211"/>
      <c r="J1392" s="211"/>
      <c r="K1392" s="211"/>
      <c r="L1392" s="211"/>
      <c r="M1392" s="211"/>
      <c r="N1392" s="211"/>
    </row>
    <row r="1393" spans="1:14">
      <c r="A1393" s="211"/>
      <c r="B1393" s="211"/>
      <c r="C1393" s="211"/>
      <c r="D1393" s="211"/>
      <c r="E1393" s="211"/>
      <c r="F1393" s="211"/>
      <c r="G1393" s="211"/>
      <c r="H1393" s="211"/>
      <c r="I1393" s="211"/>
      <c r="J1393" s="211"/>
      <c r="K1393" s="211"/>
      <c r="L1393" s="211"/>
      <c r="M1393" s="211"/>
      <c r="N1393" s="211"/>
    </row>
    <row r="1394" spans="1:14">
      <c r="A1394" s="211"/>
      <c r="B1394" s="211"/>
      <c r="C1394" s="211"/>
      <c r="D1394" s="211"/>
      <c r="E1394" s="211"/>
      <c r="F1394" s="211"/>
      <c r="G1394" s="211"/>
      <c r="H1394" s="211"/>
      <c r="I1394" s="211"/>
      <c r="J1394" s="211"/>
      <c r="K1394" s="211"/>
      <c r="L1394" s="211"/>
      <c r="M1394" s="211"/>
      <c r="N1394" s="211"/>
    </row>
    <row r="1395" spans="1:14">
      <c r="A1395" s="211"/>
      <c r="B1395" s="211"/>
      <c r="C1395" s="211"/>
      <c r="D1395" s="211"/>
      <c r="E1395" s="211"/>
      <c r="F1395" s="211"/>
      <c r="G1395" s="211"/>
      <c r="H1395" s="211"/>
      <c r="I1395" s="211"/>
      <c r="J1395" s="211"/>
      <c r="K1395" s="211"/>
      <c r="L1395" s="211"/>
      <c r="M1395" s="211"/>
      <c r="N1395" s="211"/>
    </row>
    <row r="1396" spans="1:14">
      <c r="A1396" s="211"/>
      <c r="B1396" s="211"/>
      <c r="C1396" s="211"/>
      <c r="D1396" s="211"/>
      <c r="E1396" s="211"/>
      <c r="F1396" s="211"/>
      <c r="G1396" s="211"/>
      <c r="H1396" s="211"/>
      <c r="I1396" s="211"/>
      <c r="J1396" s="211"/>
      <c r="K1396" s="211"/>
      <c r="L1396" s="211"/>
      <c r="M1396" s="211"/>
      <c r="N1396" s="211"/>
    </row>
    <row r="1397" spans="1:14">
      <c r="A1397" s="211"/>
      <c r="B1397" s="211"/>
      <c r="C1397" s="211"/>
      <c r="D1397" s="211"/>
      <c r="E1397" s="211"/>
      <c r="F1397" s="211"/>
      <c r="G1397" s="211"/>
      <c r="H1397" s="211"/>
      <c r="I1397" s="211"/>
      <c r="J1397" s="211"/>
      <c r="K1397" s="211"/>
      <c r="L1397" s="211"/>
      <c r="M1397" s="211"/>
      <c r="N1397" s="211"/>
    </row>
    <row r="1398" spans="1:14">
      <c r="A1398" s="211"/>
      <c r="B1398" s="211"/>
      <c r="C1398" s="211"/>
      <c r="D1398" s="211"/>
      <c r="E1398" s="211"/>
      <c r="F1398" s="211"/>
      <c r="G1398" s="211"/>
      <c r="H1398" s="211"/>
      <c r="I1398" s="211"/>
      <c r="J1398" s="211"/>
      <c r="K1398" s="211"/>
      <c r="L1398" s="211"/>
      <c r="M1398" s="211"/>
      <c r="N1398" s="211"/>
    </row>
    <row r="1399" spans="1:14">
      <c r="A1399" s="211"/>
      <c r="B1399" s="211"/>
      <c r="C1399" s="211"/>
      <c r="D1399" s="211"/>
      <c r="E1399" s="211"/>
      <c r="F1399" s="211"/>
      <c r="G1399" s="211"/>
      <c r="H1399" s="211"/>
      <c r="I1399" s="211"/>
      <c r="J1399" s="211"/>
      <c r="K1399" s="211"/>
      <c r="L1399" s="211"/>
      <c r="M1399" s="211"/>
      <c r="N1399" s="211"/>
    </row>
    <row r="1400" spans="1:14">
      <c r="A1400" s="211"/>
      <c r="B1400" s="211"/>
      <c r="C1400" s="211"/>
      <c r="D1400" s="211"/>
      <c r="E1400" s="211"/>
      <c r="F1400" s="211"/>
      <c r="G1400" s="211"/>
      <c r="H1400" s="211"/>
      <c r="I1400" s="211"/>
      <c r="J1400" s="211"/>
      <c r="K1400" s="211"/>
      <c r="L1400" s="211"/>
      <c r="M1400" s="211"/>
      <c r="N1400" s="211"/>
    </row>
    <row r="1401" spans="1:14">
      <c r="A1401" s="211"/>
      <c r="B1401" s="211"/>
      <c r="C1401" s="211"/>
      <c r="D1401" s="211"/>
      <c r="E1401" s="211"/>
      <c r="F1401" s="211"/>
      <c r="G1401" s="211"/>
      <c r="H1401" s="211"/>
      <c r="I1401" s="211"/>
      <c r="J1401" s="211"/>
      <c r="K1401" s="211"/>
      <c r="L1401" s="211"/>
      <c r="M1401" s="211"/>
      <c r="N1401" s="211"/>
    </row>
    <row r="1402" spans="1:14">
      <c r="A1402" s="211"/>
      <c r="B1402" s="211"/>
      <c r="C1402" s="211"/>
      <c r="D1402" s="211"/>
      <c r="E1402" s="211"/>
      <c r="F1402" s="211"/>
      <c r="G1402" s="211"/>
      <c r="H1402" s="211"/>
      <c r="I1402" s="211"/>
      <c r="J1402" s="211"/>
      <c r="K1402" s="211"/>
      <c r="L1402" s="211"/>
      <c r="M1402" s="211"/>
      <c r="N1402" s="211"/>
    </row>
    <row r="1403" spans="1:14">
      <c r="A1403" s="211"/>
      <c r="B1403" s="211"/>
      <c r="C1403" s="211"/>
      <c r="D1403" s="211"/>
      <c r="E1403" s="211"/>
      <c r="F1403" s="211"/>
      <c r="G1403" s="211"/>
      <c r="H1403" s="211"/>
      <c r="I1403" s="211"/>
      <c r="J1403" s="211"/>
      <c r="K1403" s="211"/>
      <c r="L1403" s="211"/>
      <c r="M1403" s="211"/>
      <c r="N1403" s="211"/>
    </row>
    <row r="1404" spans="1:14">
      <c r="A1404" s="211"/>
      <c r="B1404" s="211"/>
      <c r="C1404" s="211"/>
      <c r="D1404" s="211"/>
      <c r="E1404" s="211"/>
      <c r="F1404" s="211"/>
      <c r="G1404" s="211"/>
      <c r="H1404" s="211"/>
      <c r="I1404" s="211"/>
      <c r="J1404" s="211"/>
      <c r="K1404" s="211"/>
      <c r="L1404" s="211"/>
      <c r="M1404" s="211"/>
      <c r="N1404" s="211"/>
    </row>
    <row r="1405" spans="1:14">
      <c r="A1405" s="211"/>
      <c r="B1405" s="211"/>
      <c r="C1405" s="211"/>
      <c r="D1405" s="211"/>
      <c r="E1405" s="211"/>
      <c r="F1405" s="211"/>
      <c r="G1405" s="211"/>
      <c r="H1405" s="211"/>
      <c r="I1405" s="211"/>
      <c r="J1405" s="211"/>
      <c r="K1405" s="211"/>
      <c r="L1405" s="211"/>
      <c r="M1405" s="211"/>
      <c r="N1405" s="211"/>
    </row>
    <row r="1406" spans="1:14">
      <c r="A1406" s="211"/>
      <c r="B1406" s="211"/>
      <c r="C1406" s="211"/>
      <c r="D1406" s="211"/>
      <c r="E1406" s="211"/>
      <c r="F1406" s="211"/>
      <c r="G1406" s="211"/>
      <c r="H1406" s="211"/>
      <c r="I1406" s="211"/>
      <c r="J1406" s="211"/>
      <c r="K1406" s="211"/>
      <c r="L1406" s="211"/>
      <c r="M1406" s="211"/>
      <c r="N1406" s="211"/>
    </row>
    <row r="1407" spans="1:14">
      <c r="A1407" s="211"/>
      <c r="B1407" s="211"/>
      <c r="C1407" s="211"/>
      <c r="D1407" s="211"/>
      <c r="E1407" s="211"/>
      <c r="F1407" s="211"/>
      <c r="G1407" s="211"/>
      <c r="H1407" s="211"/>
      <c r="I1407" s="211"/>
      <c r="J1407" s="211"/>
      <c r="K1407" s="211"/>
      <c r="L1407" s="211"/>
      <c r="M1407" s="211"/>
      <c r="N1407" s="211"/>
    </row>
    <row r="1408" spans="1:14">
      <c r="A1408" s="211"/>
      <c r="B1408" s="211"/>
      <c r="C1408" s="211"/>
      <c r="D1408" s="211"/>
      <c r="E1408" s="211"/>
      <c r="F1408" s="211"/>
      <c r="G1408" s="211"/>
      <c r="H1408" s="211"/>
      <c r="I1408" s="211"/>
      <c r="J1408" s="211"/>
      <c r="K1408" s="211"/>
      <c r="L1408" s="211"/>
      <c r="M1408" s="211"/>
      <c r="N1408" s="211"/>
    </row>
    <row r="1409" spans="1:14">
      <c r="A1409" s="211"/>
      <c r="B1409" s="211"/>
      <c r="C1409" s="211"/>
      <c r="D1409" s="211"/>
      <c r="E1409" s="211"/>
      <c r="F1409" s="211"/>
      <c r="G1409" s="211"/>
      <c r="H1409" s="211"/>
      <c r="I1409" s="211"/>
      <c r="J1409" s="211"/>
      <c r="K1409" s="211"/>
      <c r="L1409" s="211"/>
      <c r="M1409" s="211"/>
      <c r="N1409" s="211"/>
    </row>
    <row r="1410" spans="1:14">
      <c r="A1410" s="211"/>
      <c r="B1410" s="211"/>
      <c r="C1410" s="211"/>
      <c r="D1410" s="211"/>
      <c r="E1410" s="211"/>
      <c r="F1410" s="211"/>
      <c r="G1410" s="211"/>
      <c r="H1410" s="211"/>
      <c r="I1410" s="211"/>
      <c r="J1410" s="211"/>
      <c r="K1410" s="211"/>
      <c r="L1410" s="211"/>
      <c r="M1410" s="211"/>
      <c r="N1410" s="211"/>
    </row>
    <row r="1411" spans="1:14">
      <c r="A1411" s="211"/>
      <c r="B1411" s="211"/>
      <c r="C1411" s="211"/>
      <c r="D1411" s="211"/>
      <c r="E1411" s="211"/>
      <c r="F1411" s="211"/>
      <c r="G1411" s="211"/>
      <c r="H1411" s="211"/>
      <c r="I1411" s="211"/>
      <c r="J1411" s="211"/>
      <c r="K1411" s="211"/>
      <c r="L1411" s="211"/>
      <c r="M1411" s="211"/>
      <c r="N1411" s="211"/>
    </row>
    <row r="1412" spans="1:14">
      <c r="A1412" s="211"/>
      <c r="B1412" s="211"/>
      <c r="C1412" s="211"/>
      <c r="D1412" s="211"/>
      <c r="E1412" s="211"/>
      <c r="F1412" s="211"/>
      <c r="G1412" s="211"/>
      <c r="H1412" s="211"/>
      <c r="I1412" s="211"/>
      <c r="J1412" s="211"/>
      <c r="K1412" s="211"/>
      <c r="L1412" s="211"/>
      <c r="M1412" s="211"/>
      <c r="N1412" s="211"/>
    </row>
    <row r="1413" spans="1:14">
      <c r="A1413" s="211"/>
      <c r="B1413" s="211"/>
      <c r="C1413" s="211"/>
      <c r="D1413" s="211"/>
      <c r="E1413" s="211"/>
      <c r="F1413" s="211"/>
      <c r="G1413" s="211"/>
      <c r="H1413" s="211"/>
      <c r="I1413" s="211"/>
      <c r="J1413" s="211"/>
      <c r="K1413" s="211"/>
      <c r="L1413" s="211"/>
      <c r="M1413" s="211"/>
      <c r="N1413" s="211"/>
    </row>
    <row r="1414" spans="1:14">
      <c r="A1414" s="211"/>
      <c r="B1414" s="211"/>
      <c r="C1414" s="211"/>
      <c r="D1414" s="211"/>
      <c r="E1414" s="211"/>
      <c r="F1414" s="211"/>
      <c r="G1414" s="211"/>
      <c r="H1414" s="211"/>
      <c r="I1414" s="211"/>
      <c r="J1414" s="211"/>
      <c r="K1414" s="211"/>
      <c r="L1414" s="211"/>
      <c r="M1414" s="211"/>
      <c r="N1414" s="211"/>
    </row>
    <row r="1415" spans="1:14">
      <c r="A1415" s="211"/>
      <c r="B1415" s="211"/>
      <c r="C1415" s="211"/>
      <c r="D1415" s="211"/>
      <c r="E1415" s="211"/>
      <c r="F1415" s="211"/>
      <c r="G1415" s="211"/>
      <c r="H1415" s="211"/>
      <c r="I1415" s="211"/>
      <c r="J1415" s="211"/>
      <c r="K1415" s="211"/>
      <c r="L1415" s="211"/>
      <c r="M1415" s="211"/>
      <c r="N1415" s="211"/>
    </row>
    <row r="1416" spans="1:14">
      <c r="A1416" s="211"/>
      <c r="B1416" s="211"/>
      <c r="C1416" s="211"/>
      <c r="D1416" s="211"/>
      <c r="E1416" s="211"/>
      <c r="F1416" s="211"/>
      <c r="G1416" s="211"/>
      <c r="H1416" s="211"/>
      <c r="I1416" s="211"/>
      <c r="J1416" s="211"/>
      <c r="K1416" s="211"/>
      <c r="L1416" s="211"/>
      <c r="M1416" s="211"/>
      <c r="N1416" s="211"/>
    </row>
    <row r="1417" spans="1:14">
      <c r="A1417" s="211"/>
      <c r="B1417" s="211"/>
      <c r="C1417" s="211"/>
      <c r="D1417" s="211"/>
      <c r="E1417" s="211"/>
      <c r="F1417" s="211"/>
      <c r="G1417" s="211"/>
      <c r="H1417" s="211"/>
      <c r="I1417" s="211"/>
      <c r="J1417" s="211"/>
      <c r="K1417" s="211"/>
      <c r="L1417" s="211"/>
      <c r="M1417" s="211"/>
      <c r="N1417" s="211"/>
    </row>
    <row r="1418" spans="1:14">
      <c r="A1418" s="211"/>
      <c r="B1418" s="211"/>
      <c r="C1418" s="211"/>
      <c r="D1418" s="211"/>
      <c r="E1418" s="211"/>
      <c r="F1418" s="211"/>
      <c r="G1418" s="211"/>
      <c r="H1418" s="211"/>
      <c r="I1418" s="211"/>
      <c r="J1418" s="211"/>
      <c r="K1418" s="211"/>
      <c r="L1418" s="211"/>
      <c r="M1418" s="211"/>
      <c r="N1418" s="211"/>
    </row>
    <row r="1419" spans="1:14">
      <c r="A1419" s="211"/>
      <c r="B1419" s="211"/>
      <c r="C1419" s="211"/>
      <c r="D1419" s="211"/>
      <c r="E1419" s="211"/>
      <c r="F1419" s="211"/>
      <c r="G1419" s="211"/>
      <c r="H1419" s="211"/>
      <c r="I1419" s="211"/>
      <c r="J1419" s="211"/>
      <c r="K1419" s="211"/>
      <c r="L1419" s="211"/>
      <c r="M1419" s="211"/>
      <c r="N1419" s="211"/>
    </row>
    <row r="1420" spans="1:14">
      <c r="A1420" s="211"/>
      <c r="B1420" s="211"/>
      <c r="C1420" s="211"/>
      <c r="D1420" s="211"/>
      <c r="E1420" s="211"/>
      <c r="F1420" s="211"/>
      <c r="G1420" s="211"/>
      <c r="H1420" s="211"/>
      <c r="I1420" s="211"/>
      <c r="J1420" s="211"/>
      <c r="K1420" s="211"/>
      <c r="L1420" s="211"/>
      <c r="M1420" s="211"/>
      <c r="N1420" s="211"/>
    </row>
    <row r="1421" spans="1:14">
      <c r="A1421" s="211"/>
      <c r="B1421" s="211"/>
      <c r="C1421" s="211"/>
      <c r="D1421" s="211"/>
      <c r="E1421" s="211"/>
      <c r="F1421" s="211"/>
      <c r="G1421" s="211"/>
      <c r="H1421" s="211"/>
      <c r="I1421" s="211"/>
      <c r="J1421" s="211"/>
      <c r="K1421" s="211"/>
      <c r="L1421" s="211"/>
      <c r="M1421" s="211"/>
      <c r="N1421" s="211"/>
    </row>
    <row r="1422" spans="1:14">
      <c r="A1422" s="211"/>
      <c r="B1422" s="211"/>
      <c r="C1422" s="211"/>
      <c r="D1422" s="211"/>
      <c r="E1422" s="211"/>
      <c r="F1422" s="211"/>
      <c r="G1422" s="211"/>
      <c r="H1422" s="211"/>
      <c r="I1422" s="211"/>
      <c r="J1422" s="211"/>
      <c r="K1422" s="211"/>
      <c r="L1422" s="211"/>
      <c r="M1422" s="211"/>
      <c r="N1422" s="211"/>
    </row>
    <row r="1423" spans="1:14">
      <c r="A1423" s="211"/>
      <c r="B1423" s="211"/>
      <c r="C1423" s="211"/>
      <c r="D1423" s="211"/>
      <c r="E1423" s="211"/>
      <c r="F1423" s="211"/>
      <c r="G1423" s="211"/>
      <c r="H1423" s="211"/>
      <c r="I1423" s="211"/>
      <c r="J1423" s="211"/>
      <c r="K1423" s="211"/>
      <c r="L1423" s="211"/>
      <c r="M1423" s="211"/>
      <c r="N1423" s="211"/>
    </row>
    <row r="1424" spans="1:14">
      <c r="A1424" s="211"/>
      <c r="B1424" s="211"/>
      <c r="C1424" s="211"/>
      <c r="D1424" s="211"/>
      <c r="E1424" s="211"/>
      <c r="F1424" s="211"/>
      <c r="G1424" s="211"/>
      <c r="H1424" s="211"/>
      <c r="I1424" s="211"/>
      <c r="J1424" s="211"/>
      <c r="K1424" s="211"/>
      <c r="L1424" s="211"/>
      <c r="M1424" s="211"/>
      <c r="N1424" s="211"/>
    </row>
    <row r="1425" spans="1:14">
      <c r="A1425" s="211"/>
      <c r="B1425" s="211"/>
      <c r="C1425" s="211"/>
      <c r="D1425" s="211"/>
      <c r="E1425" s="211"/>
      <c r="F1425" s="211"/>
      <c r="G1425" s="211"/>
      <c r="H1425" s="211"/>
      <c r="I1425" s="211"/>
      <c r="J1425" s="211"/>
      <c r="K1425" s="211"/>
      <c r="L1425" s="211"/>
      <c r="M1425" s="211"/>
      <c r="N1425" s="211"/>
    </row>
    <row r="1426" spans="1:14">
      <c r="A1426" s="211"/>
      <c r="B1426" s="211"/>
      <c r="C1426" s="211"/>
      <c r="D1426" s="211"/>
      <c r="E1426" s="211"/>
      <c r="F1426" s="211"/>
      <c r="G1426" s="211"/>
      <c r="H1426" s="211"/>
      <c r="I1426" s="211"/>
      <c r="J1426" s="211"/>
      <c r="K1426" s="211"/>
      <c r="L1426" s="211"/>
      <c r="M1426" s="211"/>
      <c r="N1426" s="211"/>
    </row>
    <row r="1427" spans="1:14">
      <c r="A1427" s="211"/>
      <c r="B1427" s="211"/>
      <c r="C1427" s="211"/>
      <c r="D1427" s="211"/>
      <c r="E1427" s="211"/>
      <c r="F1427" s="211"/>
      <c r="G1427" s="211"/>
      <c r="H1427" s="211"/>
      <c r="I1427" s="211"/>
      <c r="J1427" s="211"/>
      <c r="K1427" s="211"/>
      <c r="L1427" s="211"/>
      <c r="M1427" s="211"/>
      <c r="N1427" s="211"/>
    </row>
    <row r="1428" spans="1:14">
      <c r="A1428" s="211"/>
      <c r="B1428" s="211"/>
      <c r="C1428" s="211"/>
      <c r="D1428" s="211"/>
      <c r="E1428" s="211"/>
      <c r="F1428" s="211"/>
      <c r="G1428" s="211"/>
      <c r="H1428" s="211"/>
      <c r="I1428" s="211"/>
      <c r="J1428" s="211"/>
      <c r="K1428" s="211"/>
      <c r="L1428" s="211"/>
      <c r="M1428" s="211"/>
      <c r="N1428" s="211"/>
    </row>
    <row r="1429" spans="1:14">
      <c r="A1429" s="211"/>
      <c r="B1429" s="211"/>
      <c r="C1429" s="211"/>
      <c r="D1429" s="211"/>
      <c r="E1429" s="211"/>
      <c r="F1429" s="211"/>
      <c r="G1429" s="211"/>
      <c r="H1429" s="211"/>
      <c r="I1429" s="211"/>
      <c r="J1429" s="211"/>
      <c r="K1429" s="211"/>
      <c r="L1429" s="211"/>
      <c r="M1429" s="211"/>
      <c r="N1429" s="211"/>
    </row>
    <row r="1430" spans="1:14">
      <c r="A1430" s="211"/>
      <c r="B1430" s="211"/>
      <c r="C1430" s="211"/>
      <c r="D1430" s="211"/>
      <c r="E1430" s="211"/>
      <c r="F1430" s="211"/>
      <c r="G1430" s="211"/>
      <c r="H1430" s="211"/>
      <c r="I1430" s="211"/>
      <c r="J1430" s="211"/>
      <c r="K1430" s="211"/>
      <c r="L1430" s="211"/>
      <c r="M1430" s="211"/>
      <c r="N1430" s="211"/>
    </row>
    <row r="1431" spans="1:14">
      <c r="A1431" s="211"/>
      <c r="B1431" s="211"/>
      <c r="C1431" s="211"/>
      <c r="D1431" s="211"/>
      <c r="E1431" s="211"/>
      <c r="F1431" s="211"/>
      <c r="G1431" s="211"/>
      <c r="H1431" s="211"/>
      <c r="I1431" s="211"/>
      <c r="J1431" s="211"/>
      <c r="K1431" s="211"/>
      <c r="L1431" s="211"/>
      <c r="M1431" s="211"/>
      <c r="N1431" s="211"/>
    </row>
    <row r="1432" spans="1:14">
      <c r="A1432" s="211"/>
      <c r="B1432" s="211"/>
      <c r="C1432" s="211"/>
      <c r="D1432" s="211"/>
      <c r="E1432" s="211"/>
      <c r="F1432" s="211"/>
      <c r="G1432" s="211"/>
      <c r="H1432" s="211"/>
      <c r="I1432" s="211"/>
      <c r="J1432" s="211"/>
      <c r="K1432" s="211"/>
      <c r="L1432" s="211"/>
      <c r="M1432" s="211"/>
      <c r="N1432" s="211"/>
    </row>
    <row r="1433" spans="1:14">
      <c r="A1433" s="211"/>
      <c r="B1433" s="211"/>
      <c r="C1433" s="211"/>
      <c r="D1433" s="211"/>
      <c r="E1433" s="211"/>
      <c r="F1433" s="211"/>
      <c r="G1433" s="211"/>
      <c r="H1433" s="211"/>
      <c r="I1433" s="211"/>
      <c r="J1433" s="211"/>
      <c r="K1433" s="211"/>
      <c r="L1433" s="211"/>
      <c r="M1433" s="211"/>
      <c r="N1433" s="211"/>
    </row>
    <row r="1434" spans="1:14">
      <c r="A1434" s="211"/>
      <c r="B1434" s="211"/>
      <c r="C1434" s="211"/>
      <c r="D1434" s="211"/>
      <c r="E1434" s="211"/>
      <c r="F1434" s="211"/>
      <c r="G1434" s="211"/>
      <c r="H1434" s="211"/>
      <c r="I1434" s="211"/>
      <c r="J1434" s="211"/>
      <c r="K1434" s="211"/>
      <c r="L1434" s="211"/>
      <c r="M1434" s="211"/>
      <c r="N1434" s="211"/>
    </row>
    <row r="1435" spans="1:14">
      <c r="A1435" s="211"/>
      <c r="B1435" s="211"/>
      <c r="C1435" s="211"/>
      <c r="D1435" s="211"/>
      <c r="E1435" s="211"/>
      <c r="F1435" s="211"/>
      <c r="G1435" s="211"/>
      <c r="H1435" s="211"/>
      <c r="I1435" s="211"/>
      <c r="J1435" s="211"/>
      <c r="K1435" s="211"/>
      <c r="L1435" s="211"/>
      <c r="M1435" s="211"/>
      <c r="N1435" s="211"/>
    </row>
    <row r="1436" spans="1:14">
      <c r="A1436" s="211"/>
      <c r="B1436" s="211"/>
      <c r="C1436" s="211"/>
      <c r="D1436" s="211"/>
      <c r="E1436" s="211"/>
      <c r="F1436" s="211"/>
      <c r="G1436" s="211"/>
      <c r="H1436" s="211"/>
      <c r="I1436" s="211"/>
      <c r="J1436" s="211"/>
      <c r="K1436" s="211"/>
      <c r="L1436" s="211"/>
      <c r="M1436" s="211"/>
      <c r="N1436" s="211"/>
    </row>
    <row r="1437" spans="1:14">
      <c r="A1437" s="211"/>
      <c r="B1437" s="211"/>
      <c r="C1437" s="211"/>
      <c r="D1437" s="211"/>
      <c r="E1437" s="211"/>
      <c r="F1437" s="211"/>
      <c r="G1437" s="211"/>
      <c r="H1437" s="211"/>
      <c r="I1437" s="211"/>
      <c r="J1437" s="211"/>
      <c r="K1437" s="211"/>
      <c r="L1437" s="211"/>
      <c r="M1437" s="211"/>
      <c r="N1437" s="211"/>
    </row>
    <row r="1438" spans="1:14">
      <c r="A1438" s="211"/>
      <c r="B1438" s="211"/>
      <c r="C1438" s="211"/>
      <c r="D1438" s="211"/>
      <c r="E1438" s="211"/>
      <c r="F1438" s="211"/>
      <c r="G1438" s="211"/>
      <c r="H1438" s="211"/>
      <c r="I1438" s="211"/>
      <c r="J1438" s="211"/>
      <c r="K1438" s="211"/>
      <c r="L1438" s="211"/>
      <c r="M1438" s="211"/>
      <c r="N1438" s="211"/>
    </row>
    <row r="1439" spans="1:14">
      <c r="A1439" s="211"/>
      <c r="B1439" s="211"/>
      <c r="C1439" s="211"/>
      <c r="D1439" s="211"/>
      <c r="E1439" s="211"/>
      <c r="F1439" s="211"/>
      <c r="G1439" s="211"/>
      <c r="H1439" s="211"/>
      <c r="I1439" s="211"/>
      <c r="J1439" s="211"/>
      <c r="K1439" s="211"/>
      <c r="L1439" s="211"/>
      <c r="M1439" s="211"/>
      <c r="N1439" s="211"/>
    </row>
    <row r="1440" spans="1:14">
      <c r="A1440" s="211"/>
      <c r="B1440" s="211"/>
      <c r="C1440" s="211"/>
      <c r="D1440" s="211"/>
      <c r="E1440" s="211"/>
      <c r="F1440" s="211"/>
      <c r="G1440" s="211"/>
      <c r="H1440" s="211"/>
      <c r="I1440" s="211"/>
      <c r="J1440" s="211"/>
      <c r="K1440" s="211"/>
      <c r="L1440" s="211"/>
      <c r="M1440" s="211"/>
      <c r="N1440" s="211"/>
    </row>
    <row r="1441" spans="1:14">
      <c r="A1441" s="211"/>
      <c r="B1441" s="211"/>
      <c r="C1441" s="211"/>
      <c r="D1441" s="211"/>
      <c r="E1441" s="211"/>
      <c r="F1441" s="211"/>
      <c r="G1441" s="211"/>
      <c r="H1441" s="211"/>
      <c r="I1441" s="211"/>
      <c r="J1441" s="211"/>
      <c r="K1441" s="211"/>
      <c r="L1441" s="211"/>
      <c r="M1441" s="211"/>
      <c r="N1441" s="211"/>
    </row>
    <row r="1442" spans="1:14">
      <c r="A1442" s="211"/>
      <c r="B1442" s="211"/>
      <c r="C1442" s="211"/>
      <c r="D1442" s="211"/>
      <c r="E1442" s="211"/>
      <c r="F1442" s="211"/>
      <c r="G1442" s="211"/>
      <c r="H1442" s="211"/>
      <c r="I1442" s="211"/>
      <c r="J1442" s="211"/>
      <c r="K1442" s="211"/>
      <c r="L1442" s="211"/>
      <c r="M1442" s="211"/>
      <c r="N1442" s="211"/>
    </row>
    <row r="1443" spans="1:14">
      <c r="A1443" s="211"/>
      <c r="B1443" s="211"/>
      <c r="C1443" s="211"/>
      <c r="D1443" s="211"/>
      <c r="E1443" s="211"/>
      <c r="F1443" s="211"/>
      <c r="G1443" s="211"/>
      <c r="H1443" s="211"/>
      <c r="I1443" s="211"/>
      <c r="J1443" s="211"/>
      <c r="K1443" s="211"/>
      <c r="L1443" s="211"/>
      <c r="M1443" s="211"/>
      <c r="N1443" s="211"/>
    </row>
    <row r="1444" spans="1:14">
      <c r="A1444" s="211"/>
      <c r="B1444" s="211"/>
      <c r="C1444" s="211"/>
      <c r="D1444" s="211"/>
      <c r="E1444" s="211"/>
      <c r="F1444" s="211"/>
      <c r="G1444" s="211"/>
      <c r="H1444" s="211"/>
      <c r="I1444" s="211"/>
      <c r="J1444" s="211"/>
      <c r="K1444" s="211"/>
      <c r="L1444" s="211"/>
      <c r="M1444" s="211"/>
      <c r="N1444" s="211"/>
    </row>
    <row r="1445" spans="1:14">
      <c r="A1445" s="211"/>
      <c r="B1445" s="211"/>
      <c r="C1445" s="211"/>
      <c r="D1445" s="211"/>
      <c r="E1445" s="211"/>
      <c r="F1445" s="211"/>
      <c r="G1445" s="211"/>
      <c r="H1445" s="211"/>
      <c r="I1445" s="211"/>
      <c r="J1445" s="211"/>
      <c r="K1445" s="211"/>
      <c r="L1445" s="211"/>
      <c r="M1445" s="211"/>
      <c r="N1445" s="211"/>
    </row>
    <row r="1446" spans="1:14">
      <c r="A1446" s="211"/>
      <c r="B1446" s="211"/>
      <c r="C1446" s="211"/>
      <c r="D1446" s="211"/>
      <c r="E1446" s="211"/>
      <c r="F1446" s="211"/>
      <c r="G1446" s="211"/>
      <c r="H1446" s="211"/>
      <c r="I1446" s="211"/>
      <c r="J1446" s="211"/>
      <c r="K1446" s="211"/>
      <c r="L1446" s="211"/>
      <c r="M1446" s="211"/>
      <c r="N1446" s="211"/>
    </row>
    <row r="1447" spans="1:14">
      <c r="A1447" s="211"/>
      <c r="B1447" s="211"/>
      <c r="C1447" s="211"/>
      <c r="D1447" s="211"/>
      <c r="E1447" s="211"/>
      <c r="F1447" s="211"/>
      <c r="G1447" s="211"/>
      <c r="H1447" s="211"/>
      <c r="I1447" s="211"/>
      <c r="J1447" s="211"/>
      <c r="K1447" s="211"/>
      <c r="L1447" s="211"/>
      <c r="M1447" s="211"/>
      <c r="N1447" s="211"/>
    </row>
    <row r="1448" spans="1:14">
      <c r="A1448" s="211"/>
      <c r="B1448" s="211"/>
      <c r="C1448" s="211"/>
      <c r="D1448" s="211"/>
      <c r="E1448" s="211"/>
      <c r="F1448" s="211"/>
      <c r="G1448" s="211"/>
      <c r="H1448" s="211"/>
      <c r="I1448" s="211"/>
      <c r="J1448" s="211"/>
      <c r="K1448" s="211"/>
      <c r="L1448" s="211"/>
      <c r="M1448" s="211"/>
      <c r="N1448" s="211"/>
    </row>
    <row r="1449" spans="1:14">
      <c r="A1449" s="211"/>
      <c r="B1449" s="211"/>
      <c r="C1449" s="211"/>
      <c r="D1449" s="211"/>
      <c r="E1449" s="211"/>
      <c r="F1449" s="211"/>
      <c r="G1449" s="211"/>
      <c r="H1449" s="211"/>
      <c r="I1449" s="211"/>
      <c r="J1449" s="211"/>
      <c r="K1449" s="211"/>
      <c r="L1449" s="211"/>
      <c r="M1449" s="211"/>
      <c r="N1449" s="211"/>
    </row>
    <row r="1450" spans="1:14">
      <c r="A1450" s="211"/>
      <c r="B1450" s="211"/>
      <c r="C1450" s="211"/>
      <c r="D1450" s="211"/>
      <c r="E1450" s="211"/>
      <c r="F1450" s="211"/>
      <c r="G1450" s="211"/>
      <c r="H1450" s="211"/>
      <c r="I1450" s="211"/>
      <c r="J1450" s="211"/>
      <c r="K1450" s="211"/>
      <c r="L1450" s="211"/>
      <c r="M1450" s="211"/>
      <c r="N1450" s="211"/>
    </row>
    <row r="1451" spans="1:14">
      <c r="A1451" s="211"/>
      <c r="B1451" s="211"/>
      <c r="C1451" s="211"/>
      <c r="D1451" s="211"/>
      <c r="E1451" s="211"/>
      <c r="F1451" s="211"/>
      <c r="G1451" s="211"/>
      <c r="H1451" s="211"/>
      <c r="I1451" s="211"/>
      <c r="J1451" s="211"/>
      <c r="K1451" s="211"/>
      <c r="L1451" s="211"/>
      <c r="M1451" s="211"/>
      <c r="N1451" s="211"/>
    </row>
    <row r="1452" spans="1:14">
      <c r="A1452" s="211"/>
      <c r="B1452" s="211"/>
      <c r="C1452" s="211"/>
      <c r="D1452" s="211"/>
      <c r="E1452" s="211"/>
      <c r="F1452" s="211"/>
      <c r="G1452" s="211"/>
      <c r="H1452" s="211"/>
      <c r="I1452" s="211"/>
      <c r="J1452" s="211"/>
      <c r="K1452" s="211"/>
      <c r="L1452" s="211"/>
      <c r="M1452" s="211"/>
      <c r="N1452" s="211"/>
    </row>
    <row r="1453" spans="1:14">
      <c r="A1453" s="211"/>
      <c r="B1453" s="211"/>
      <c r="C1453" s="211"/>
      <c r="D1453" s="211"/>
      <c r="E1453" s="211"/>
      <c r="F1453" s="211"/>
      <c r="G1453" s="211"/>
      <c r="H1453" s="211"/>
      <c r="I1453" s="211"/>
      <c r="J1453" s="211"/>
      <c r="K1453" s="211"/>
      <c r="L1453" s="211"/>
      <c r="M1453" s="211"/>
      <c r="N1453" s="211"/>
    </row>
    <row r="1454" spans="1:14">
      <c r="A1454" s="211"/>
      <c r="B1454" s="211"/>
      <c r="C1454" s="211"/>
      <c r="D1454" s="211"/>
      <c r="E1454" s="211"/>
      <c r="F1454" s="211"/>
      <c r="G1454" s="211"/>
      <c r="H1454" s="211"/>
      <c r="I1454" s="211"/>
      <c r="J1454" s="211"/>
      <c r="K1454" s="211"/>
      <c r="L1454" s="211"/>
      <c r="M1454" s="211"/>
      <c r="N1454" s="211"/>
    </row>
    <row r="1455" spans="1:14">
      <c r="A1455" s="211"/>
      <c r="B1455" s="211"/>
      <c r="C1455" s="211"/>
      <c r="D1455" s="211"/>
      <c r="E1455" s="211"/>
      <c r="F1455" s="211"/>
      <c r="G1455" s="211"/>
      <c r="H1455" s="211"/>
      <c r="I1455" s="211"/>
      <c r="J1455" s="211"/>
      <c r="K1455" s="211"/>
      <c r="L1455" s="211"/>
      <c r="M1455" s="211"/>
      <c r="N1455" s="211"/>
    </row>
    <row r="1456" spans="1:14">
      <c r="A1456" s="211"/>
      <c r="B1456" s="211"/>
      <c r="C1456" s="211"/>
      <c r="D1456" s="211"/>
      <c r="E1456" s="211"/>
      <c r="F1456" s="211"/>
      <c r="G1456" s="211"/>
      <c r="H1456" s="211"/>
      <c r="I1456" s="211"/>
      <c r="J1456" s="211"/>
      <c r="K1456" s="211"/>
      <c r="L1456" s="211"/>
      <c r="M1456" s="211"/>
      <c r="N1456" s="211"/>
    </row>
    <row r="1457" spans="1:14">
      <c r="A1457" s="211"/>
      <c r="B1457" s="211"/>
      <c r="C1457" s="211"/>
      <c r="D1457" s="211"/>
      <c r="E1457" s="211"/>
      <c r="F1457" s="211"/>
      <c r="G1457" s="211"/>
      <c r="H1457" s="211"/>
      <c r="I1457" s="211"/>
      <c r="J1457" s="211"/>
      <c r="K1457" s="211"/>
      <c r="L1457" s="211"/>
      <c r="M1457" s="211"/>
      <c r="N1457" s="211"/>
    </row>
    <row r="1458" spans="1:14">
      <c r="A1458" s="211"/>
      <c r="B1458" s="211"/>
      <c r="C1458" s="211"/>
      <c r="D1458" s="211"/>
      <c r="E1458" s="211"/>
      <c r="F1458" s="211"/>
      <c r="G1458" s="211"/>
      <c r="H1458" s="211"/>
      <c r="I1458" s="211"/>
      <c r="J1458" s="211"/>
      <c r="K1458" s="211"/>
      <c r="L1458" s="211"/>
      <c r="M1458" s="211"/>
      <c r="N1458" s="211"/>
    </row>
    <row r="1459" spans="1:14">
      <c r="A1459" s="211"/>
      <c r="B1459" s="211"/>
      <c r="C1459" s="211"/>
      <c r="D1459" s="211"/>
      <c r="E1459" s="211"/>
      <c r="F1459" s="211"/>
      <c r="G1459" s="211"/>
      <c r="H1459" s="211"/>
      <c r="I1459" s="211"/>
      <c r="J1459" s="211"/>
      <c r="K1459" s="211"/>
      <c r="L1459" s="211"/>
      <c r="M1459" s="211"/>
      <c r="N1459" s="211"/>
    </row>
    <row r="1460" spans="1:14">
      <c r="A1460" s="211"/>
      <c r="B1460" s="211"/>
      <c r="C1460" s="211"/>
      <c r="D1460" s="211"/>
      <c r="E1460" s="211"/>
      <c r="F1460" s="211"/>
      <c r="G1460" s="211"/>
      <c r="H1460" s="211"/>
      <c r="I1460" s="211"/>
      <c r="J1460" s="211"/>
      <c r="K1460" s="211"/>
      <c r="L1460" s="211"/>
      <c r="M1460" s="211"/>
      <c r="N1460" s="211"/>
    </row>
    <row r="1461" spans="1:14">
      <c r="A1461" s="211"/>
      <c r="B1461" s="211"/>
      <c r="C1461" s="211"/>
      <c r="D1461" s="211"/>
      <c r="E1461" s="211"/>
      <c r="F1461" s="211"/>
      <c r="G1461" s="211"/>
      <c r="H1461" s="211"/>
      <c r="I1461" s="211"/>
      <c r="J1461" s="211"/>
      <c r="K1461" s="211"/>
      <c r="L1461" s="211"/>
      <c r="M1461" s="211"/>
      <c r="N1461" s="211"/>
    </row>
    <row r="1462" spans="1:14">
      <c r="A1462" s="211"/>
      <c r="B1462" s="211"/>
      <c r="C1462" s="211"/>
      <c r="D1462" s="211"/>
      <c r="E1462" s="211"/>
      <c r="F1462" s="211"/>
      <c r="G1462" s="211"/>
      <c r="H1462" s="211"/>
      <c r="I1462" s="211"/>
      <c r="J1462" s="211"/>
      <c r="K1462" s="211"/>
      <c r="L1462" s="211"/>
      <c r="M1462" s="211"/>
      <c r="N1462" s="211"/>
    </row>
    <row r="1463" spans="1:14">
      <c r="A1463" s="211"/>
      <c r="B1463" s="211"/>
      <c r="C1463" s="211"/>
      <c r="D1463" s="211"/>
      <c r="E1463" s="211"/>
      <c r="F1463" s="211"/>
      <c r="G1463" s="211"/>
      <c r="H1463" s="211"/>
      <c r="I1463" s="211"/>
      <c r="J1463" s="211"/>
      <c r="K1463" s="211"/>
      <c r="L1463" s="211"/>
      <c r="M1463" s="211"/>
      <c r="N1463" s="211"/>
    </row>
    <row r="1464" spans="1:14">
      <c r="A1464" s="211"/>
      <c r="B1464" s="211"/>
      <c r="C1464" s="211"/>
      <c r="D1464" s="211"/>
      <c r="E1464" s="211"/>
      <c r="F1464" s="211"/>
      <c r="G1464" s="211"/>
      <c r="H1464" s="211"/>
      <c r="I1464" s="211"/>
      <c r="J1464" s="211"/>
      <c r="K1464" s="211"/>
      <c r="L1464" s="211"/>
      <c r="M1464" s="211"/>
      <c r="N1464" s="211"/>
    </row>
    <row r="1465" spans="1:14">
      <c r="A1465" s="211"/>
      <c r="B1465" s="211"/>
      <c r="C1465" s="211"/>
      <c r="D1465" s="211"/>
      <c r="E1465" s="211"/>
      <c r="F1465" s="211"/>
      <c r="G1465" s="211"/>
      <c r="H1465" s="211"/>
      <c r="I1465" s="211"/>
      <c r="J1465" s="211"/>
      <c r="K1465" s="211"/>
      <c r="L1465" s="211"/>
      <c r="M1465" s="211"/>
      <c r="N1465" s="211"/>
    </row>
    <row r="1466" spans="1:14">
      <c r="A1466" s="211"/>
      <c r="B1466" s="211"/>
      <c r="C1466" s="211"/>
      <c r="D1466" s="211"/>
      <c r="E1466" s="211"/>
      <c r="F1466" s="211"/>
      <c r="G1466" s="211"/>
      <c r="H1466" s="211"/>
      <c r="I1466" s="211"/>
      <c r="J1466" s="211"/>
      <c r="K1466" s="211"/>
      <c r="L1466" s="211"/>
      <c r="M1466" s="211"/>
      <c r="N1466" s="211"/>
    </row>
    <row r="1467" spans="1:14">
      <c r="A1467" s="211"/>
      <c r="B1467" s="211"/>
      <c r="C1467" s="211"/>
      <c r="D1467" s="211"/>
      <c r="E1467" s="211"/>
      <c r="F1467" s="211"/>
      <c r="G1467" s="211"/>
      <c r="H1467" s="211"/>
      <c r="I1467" s="211"/>
      <c r="J1467" s="211"/>
      <c r="K1467" s="211"/>
      <c r="L1467" s="211"/>
      <c r="M1467" s="211"/>
      <c r="N1467" s="211"/>
    </row>
    <row r="1468" spans="1:14">
      <c r="A1468" s="211"/>
      <c r="B1468" s="211"/>
      <c r="C1468" s="211"/>
      <c r="D1468" s="211"/>
      <c r="E1468" s="211"/>
      <c r="F1468" s="211"/>
      <c r="G1468" s="211"/>
      <c r="H1468" s="211"/>
      <c r="I1468" s="211"/>
      <c r="J1468" s="211"/>
      <c r="K1468" s="211"/>
      <c r="L1468" s="211"/>
      <c r="M1468" s="211"/>
      <c r="N1468" s="211"/>
    </row>
    <row r="1469" spans="1:14">
      <c r="A1469" s="211"/>
      <c r="B1469" s="211"/>
      <c r="C1469" s="211"/>
      <c r="D1469" s="211"/>
      <c r="E1469" s="211"/>
      <c r="F1469" s="211"/>
      <c r="G1469" s="211"/>
      <c r="H1469" s="211"/>
      <c r="I1469" s="211"/>
      <c r="J1469" s="211"/>
      <c r="K1469" s="211"/>
      <c r="L1469" s="211"/>
      <c r="M1469" s="211"/>
      <c r="N1469" s="211"/>
    </row>
    <row r="1470" spans="1:14">
      <c r="A1470" s="211"/>
      <c r="B1470" s="211"/>
      <c r="C1470" s="211"/>
      <c r="D1470" s="211"/>
      <c r="E1470" s="211"/>
      <c r="F1470" s="211"/>
      <c r="G1470" s="211"/>
      <c r="H1470" s="211"/>
      <c r="I1470" s="211"/>
      <c r="J1470" s="211"/>
      <c r="K1470" s="211"/>
      <c r="L1470" s="211"/>
      <c r="M1470" s="211"/>
      <c r="N1470" s="211"/>
    </row>
    <row r="1471" spans="1:14">
      <c r="A1471" s="211"/>
      <c r="B1471" s="211"/>
      <c r="C1471" s="211"/>
      <c r="D1471" s="211"/>
      <c r="E1471" s="211"/>
      <c r="F1471" s="211"/>
      <c r="G1471" s="211"/>
      <c r="H1471" s="211"/>
      <c r="I1471" s="211"/>
      <c r="J1471" s="211"/>
      <c r="K1471" s="211"/>
      <c r="L1471" s="211"/>
      <c r="M1471" s="211"/>
      <c r="N1471" s="211"/>
    </row>
    <row r="1472" spans="1:14">
      <c r="A1472" s="211"/>
      <c r="B1472" s="211"/>
      <c r="C1472" s="211"/>
      <c r="D1472" s="211"/>
      <c r="E1472" s="211"/>
      <c r="F1472" s="211"/>
      <c r="G1472" s="211"/>
      <c r="H1472" s="211"/>
      <c r="I1472" s="211"/>
      <c r="J1472" s="211"/>
      <c r="K1472" s="211"/>
      <c r="L1472" s="211"/>
      <c r="M1472" s="211"/>
      <c r="N1472" s="211"/>
    </row>
    <row r="1473" spans="1:14">
      <c r="A1473" s="211"/>
      <c r="B1473" s="211"/>
      <c r="C1473" s="211"/>
      <c r="D1473" s="211"/>
      <c r="E1473" s="211"/>
      <c r="F1473" s="211"/>
      <c r="G1473" s="211"/>
      <c r="H1473" s="211"/>
      <c r="I1473" s="211"/>
      <c r="J1473" s="211"/>
      <c r="K1473" s="211"/>
      <c r="L1473" s="211"/>
      <c r="M1473" s="211"/>
      <c r="N1473" s="211"/>
    </row>
    <row r="1474" spans="1:14">
      <c r="A1474" s="211"/>
      <c r="B1474" s="211"/>
      <c r="C1474" s="211"/>
      <c r="D1474" s="211"/>
      <c r="E1474" s="211"/>
      <c r="F1474" s="211"/>
      <c r="G1474" s="211"/>
      <c r="H1474" s="211"/>
      <c r="I1474" s="211"/>
      <c r="J1474" s="211"/>
      <c r="K1474" s="211"/>
      <c r="L1474" s="211"/>
      <c r="M1474" s="211"/>
      <c r="N1474" s="211"/>
    </row>
    <row r="1475" spans="1:14">
      <c r="A1475" s="211"/>
      <c r="B1475" s="211"/>
      <c r="C1475" s="211"/>
      <c r="D1475" s="211"/>
      <c r="E1475" s="211"/>
      <c r="F1475" s="211"/>
      <c r="G1475" s="211"/>
      <c r="H1475" s="211"/>
      <c r="I1475" s="211"/>
      <c r="J1475" s="211"/>
      <c r="K1475" s="211"/>
      <c r="L1475" s="211"/>
      <c r="M1475" s="211"/>
      <c r="N1475" s="211"/>
    </row>
    <row r="1476" spans="1:14">
      <c r="A1476" s="211"/>
      <c r="B1476" s="211"/>
      <c r="C1476" s="211"/>
      <c r="D1476" s="211"/>
      <c r="E1476" s="211"/>
      <c r="F1476" s="211"/>
      <c r="G1476" s="211"/>
      <c r="H1476" s="211"/>
      <c r="I1476" s="211"/>
      <c r="J1476" s="211"/>
      <c r="K1476" s="211"/>
      <c r="L1476" s="211"/>
      <c r="M1476" s="211"/>
      <c r="N1476" s="211"/>
    </row>
    <row r="1477" spans="1:14">
      <c r="A1477" s="211"/>
      <c r="B1477" s="211"/>
      <c r="C1477" s="211"/>
      <c r="D1477" s="211"/>
      <c r="E1477" s="211"/>
      <c r="F1477" s="211"/>
      <c r="G1477" s="211"/>
      <c r="H1477" s="211"/>
      <c r="I1477" s="211"/>
      <c r="J1477" s="211"/>
      <c r="K1477" s="211"/>
      <c r="L1477" s="211"/>
      <c r="M1477" s="211"/>
      <c r="N1477" s="211"/>
    </row>
    <row r="1478" spans="1:14">
      <c r="A1478" s="211"/>
      <c r="B1478" s="211"/>
      <c r="C1478" s="211"/>
      <c r="D1478" s="211"/>
      <c r="E1478" s="211"/>
      <c r="F1478" s="211"/>
      <c r="G1478" s="211"/>
      <c r="H1478" s="211"/>
      <c r="I1478" s="211"/>
      <c r="J1478" s="211"/>
      <c r="K1478" s="211"/>
      <c r="L1478" s="211"/>
      <c r="M1478" s="211"/>
      <c r="N1478" s="211"/>
    </row>
    <row r="1479" spans="1:14">
      <c r="A1479" s="211"/>
      <c r="B1479" s="211"/>
      <c r="C1479" s="211"/>
      <c r="D1479" s="211"/>
      <c r="E1479" s="211"/>
      <c r="F1479" s="211"/>
      <c r="G1479" s="211"/>
      <c r="H1479" s="211"/>
      <c r="I1479" s="211"/>
      <c r="J1479" s="211"/>
      <c r="K1479" s="211"/>
      <c r="L1479" s="211"/>
      <c r="M1479" s="211"/>
      <c r="N1479" s="211"/>
    </row>
    <row r="1480" spans="1:14">
      <c r="A1480" s="211"/>
      <c r="B1480" s="211"/>
      <c r="C1480" s="211"/>
      <c r="D1480" s="211"/>
      <c r="E1480" s="211"/>
      <c r="F1480" s="211"/>
      <c r="G1480" s="211"/>
      <c r="H1480" s="211"/>
      <c r="I1480" s="211"/>
      <c r="J1480" s="211"/>
      <c r="K1480" s="211"/>
      <c r="L1480" s="211"/>
      <c r="M1480" s="211"/>
      <c r="N1480" s="211"/>
    </row>
    <row r="1481" spans="1:14">
      <c r="A1481" s="211"/>
      <c r="B1481" s="211"/>
      <c r="C1481" s="211"/>
      <c r="D1481" s="211"/>
      <c r="E1481" s="211"/>
      <c r="F1481" s="211"/>
      <c r="G1481" s="211"/>
      <c r="H1481" s="211"/>
      <c r="I1481" s="211"/>
      <c r="J1481" s="211"/>
      <c r="K1481" s="211"/>
      <c r="L1481" s="211"/>
      <c r="M1481" s="211"/>
      <c r="N1481" s="211"/>
    </row>
    <row r="1482" spans="1:14">
      <c r="A1482" s="211"/>
      <c r="B1482" s="211"/>
      <c r="C1482" s="211"/>
      <c r="D1482" s="211"/>
      <c r="E1482" s="211"/>
      <c r="F1482" s="211"/>
      <c r="G1482" s="211"/>
      <c r="H1482" s="211"/>
      <c r="I1482" s="211"/>
      <c r="J1482" s="211"/>
      <c r="K1482" s="211"/>
      <c r="L1482" s="211"/>
      <c r="M1482" s="211"/>
      <c r="N1482" s="211"/>
    </row>
    <row r="1483" spans="1:14">
      <c r="A1483" s="211"/>
      <c r="B1483" s="211"/>
      <c r="C1483" s="211"/>
      <c r="D1483" s="211"/>
      <c r="E1483" s="211"/>
      <c r="F1483" s="211"/>
      <c r="G1483" s="211"/>
      <c r="H1483" s="211"/>
      <c r="I1483" s="211"/>
      <c r="J1483" s="211"/>
      <c r="K1483" s="211"/>
      <c r="L1483" s="211"/>
      <c r="M1483" s="211"/>
      <c r="N1483" s="211"/>
    </row>
    <row r="1484" spans="1:14">
      <c r="A1484" s="211"/>
      <c r="B1484" s="211"/>
      <c r="C1484" s="211"/>
      <c r="D1484" s="211"/>
      <c r="E1484" s="211"/>
      <c r="F1484" s="211"/>
      <c r="G1484" s="211"/>
      <c r="H1484" s="211"/>
      <c r="I1484" s="211"/>
      <c r="J1484" s="211"/>
      <c r="K1484" s="211"/>
      <c r="L1484" s="211"/>
      <c r="M1484" s="211"/>
      <c r="N1484" s="211"/>
    </row>
    <row r="1485" spans="1:14">
      <c r="A1485" s="211"/>
      <c r="B1485" s="211"/>
      <c r="C1485" s="211"/>
      <c r="D1485" s="211"/>
      <c r="E1485" s="211"/>
      <c r="F1485" s="211"/>
      <c r="G1485" s="211"/>
      <c r="H1485" s="211"/>
      <c r="I1485" s="211"/>
      <c r="J1485" s="211"/>
      <c r="K1485" s="211"/>
      <c r="L1485" s="211"/>
      <c r="M1485" s="211"/>
      <c r="N1485" s="211"/>
    </row>
    <row r="1486" spans="1:14">
      <c r="A1486" s="211"/>
      <c r="B1486" s="211"/>
      <c r="C1486" s="211"/>
      <c r="D1486" s="211"/>
      <c r="E1486" s="211"/>
      <c r="F1486" s="211"/>
      <c r="G1486" s="211"/>
      <c r="H1486" s="211"/>
      <c r="I1486" s="211"/>
      <c r="J1486" s="211"/>
      <c r="K1486" s="211"/>
      <c r="L1486" s="211"/>
      <c r="M1486" s="211"/>
      <c r="N1486" s="211"/>
    </row>
    <row r="1487" spans="1:14">
      <c r="A1487" s="211"/>
      <c r="B1487" s="211"/>
      <c r="C1487" s="211"/>
      <c r="D1487" s="211"/>
      <c r="E1487" s="211"/>
      <c r="F1487" s="211"/>
      <c r="G1487" s="211"/>
      <c r="H1487" s="211"/>
      <c r="I1487" s="211"/>
      <c r="J1487" s="211"/>
      <c r="K1487" s="211"/>
      <c r="L1487" s="211"/>
      <c r="M1487" s="211"/>
      <c r="N1487" s="211"/>
    </row>
    <row r="1488" spans="1:14">
      <c r="A1488" s="211"/>
      <c r="B1488" s="211"/>
      <c r="C1488" s="211"/>
      <c r="D1488" s="211"/>
      <c r="E1488" s="211"/>
      <c r="F1488" s="211"/>
      <c r="G1488" s="211"/>
      <c r="H1488" s="211"/>
      <c r="I1488" s="211"/>
      <c r="J1488" s="211"/>
      <c r="K1488" s="211"/>
      <c r="L1488" s="211"/>
      <c r="M1488" s="211"/>
      <c r="N1488" s="211"/>
    </row>
    <row r="1489" spans="1:14">
      <c r="A1489" s="211"/>
      <c r="B1489" s="211"/>
      <c r="C1489" s="211"/>
      <c r="D1489" s="211"/>
      <c r="E1489" s="211"/>
      <c r="F1489" s="211"/>
      <c r="G1489" s="211"/>
      <c r="H1489" s="211"/>
      <c r="I1489" s="211"/>
      <c r="J1489" s="211"/>
      <c r="K1489" s="211"/>
      <c r="L1489" s="211"/>
      <c r="M1489" s="211"/>
      <c r="N1489" s="211"/>
    </row>
    <row r="1490" spans="1:14">
      <c r="A1490" s="211"/>
      <c r="B1490" s="211"/>
      <c r="C1490" s="211"/>
      <c r="D1490" s="211"/>
      <c r="E1490" s="211"/>
      <c r="F1490" s="211"/>
      <c r="G1490" s="211"/>
      <c r="H1490" s="211"/>
      <c r="I1490" s="211"/>
      <c r="J1490" s="211"/>
      <c r="K1490" s="211"/>
      <c r="L1490" s="211"/>
      <c r="M1490" s="211"/>
      <c r="N1490" s="211"/>
    </row>
    <row r="1491" spans="1:14">
      <c r="A1491" s="211"/>
      <c r="B1491" s="211"/>
      <c r="C1491" s="211"/>
      <c r="D1491" s="211"/>
      <c r="E1491" s="211"/>
      <c r="F1491" s="211"/>
      <c r="G1491" s="211"/>
      <c r="H1491" s="211"/>
      <c r="I1491" s="211"/>
      <c r="J1491" s="211"/>
      <c r="K1491" s="211"/>
      <c r="L1491" s="211"/>
      <c r="M1491" s="211"/>
      <c r="N1491" s="211"/>
    </row>
    <row r="1492" spans="1:14">
      <c r="A1492" s="211"/>
      <c r="B1492" s="211"/>
      <c r="C1492" s="211"/>
      <c r="D1492" s="211"/>
      <c r="E1492" s="211"/>
      <c r="F1492" s="211"/>
      <c r="G1492" s="211"/>
      <c r="H1492" s="211"/>
      <c r="I1492" s="211"/>
      <c r="J1492" s="211"/>
      <c r="K1492" s="211"/>
      <c r="L1492" s="211"/>
      <c r="M1492" s="211"/>
      <c r="N1492" s="211"/>
    </row>
    <row r="1493" spans="1:14">
      <c r="A1493" s="211"/>
      <c r="B1493" s="211"/>
      <c r="C1493" s="211"/>
      <c r="D1493" s="211"/>
      <c r="E1493" s="211"/>
      <c r="F1493" s="211"/>
      <c r="G1493" s="211"/>
      <c r="H1493" s="211"/>
      <c r="I1493" s="211"/>
      <c r="J1493" s="211"/>
      <c r="K1493" s="211"/>
      <c r="L1493" s="211"/>
      <c r="M1493" s="211"/>
      <c r="N1493" s="211"/>
    </row>
    <row r="1494" spans="1:14">
      <c r="A1494" s="211"/>
      <c r="B1494" s="211"/>
      <c r="C1494" s="211"/>
      <c r="D1494" s="211"/>
      <c r="E1494" s="211"/>
      <c r="F1494" s="211"/>
      <c r="G1494" s="211"/>
      <c r="H1494" s="211"/>
      <c r="I1494" s="211"/>
      <c r="J1494" s="211"/>
      <c r="K1494" s="211"/>
      <c r="L1494" s="211"/>
      <c r="M1494" s="211"/>
      <c r="N1494" s="211"/>
    </row>
    <row r="1495" spans="1:14">
      <c r="A1495" s="211"/>
      <c r="B1495" s="211"/>
      <c r="C1495" s="211"/>
      <c r="D1495" s="211"/>
      <c r="E1495" s="211"/>
      <c r="F1495" s="211"/>
      <c r="G1495" s="211"/>
      <c r="H1495" s="211"/>
      <c r="I1495" s="211"/>
      <c r="J1495" s="211"/>
      <c r="K1495" s="211"/>
      <c r="L1495" s="211"/>
      <c r="M1495" s="211"/>
      <c r="N1495" s="211"/>
    </row>
    <row r="1496" spans="1:14">
      <c r="A1496" s="211"/>
      <c r="B1496" s="211"/>
      <c r="C1496" s="211"/>
      <c r="D1496" s="211"/>
      <c r="E1496" s="211"/>
      <c r="F1496" s="211"/>
      <c r="G1496" s="211"/>
      <c r="H1496" s="211"/>
      <c r="I1496" s="211"/>
      <c r="J1496" s="211"/>
      <c r="K1496" s="211"/>
      <c r="L1496" s="211"/>
      <c r="M1496" s="211"/>
      <c r="N1496" s="211"/>
    </row>
    <row r="1497" spans="1:14">
      <c r="A1497" s="211"/>
      <c r="B1497" s="211"/>
      <c r="C1497" s="211"/>
      <c r="D1497" s="211"/>
      <c r="E1497" s="211"/>
      <c r="F1497" s="211"/>
      <c r="G1497" s="211"/>
      <c r="H1497" s="211"/>
      <c r="I1497" s="211"/>
      <c r="J1497" s="211"/>
      <c r="K1497" s="211"/>
      <c r="L1497" s="211"/>
      <c r="M1497" s="211"/>
      <c r="N1497" s="211"/>
    </row>
    <row r="1498" spans="1:14">
      <c r="A1498" s="211"/>
      <c r="B1498" s="211"/>
      <c r="C1498" s="211"/>
      <c r="D1498" s="211"/>
      <c r="E1498" s="211"/>
      <c r="F1498" s="211"/>
      <c r="G1498" s="211"/>
      <c r="H1498" s="211"/>
      <c r="I1498" s="211"/>
      <c r="J1498" s="211"/>
      <c r="K1498" s="211"/>
      <c r="L1498" s="211"/>
      <c r="M1498" s="211"/>
      <c r="N1498" s="211"/>
    </row>
    <row r="1499" spans="1:14">
      <c r="A1499" s="211"/>
      <c r="B1499" s="211"/>
      <c r="C1499" s="211"/>
      <c r="D1499" s="211"/>
      <c r="E1499" s="211"/>
      <c r="F1499" s="211"/>
      <c r="G1499" s="211"/>
      <c r="H1499" s="211"/>
      <c r="I1499" s="211"/>
      <c r="J1499" s="211"/>
      <c r="K1499" s="211"/>
      <c r="L1499" s="211"/>
      <c r="M1499" s="211"/>
      <c r="N1499" s="211"/>
    </row>
    <row r="1500" spans="1:14">
      <c r="A1500" s="211"/>
      <c r="B1500" s="211"/>
      <c r="C1500" s="211"/>
      <c r="D1500" s="211"/>
      <c r="E1500" s="211"/>
      <c r="F1500" s="211"/>
      <c r="G1500" s="211"/>
      <c r="H1500" s="211"/>
      <c r="I1500" s="211"/>
      <c r="J1500" s="211"/>
      <c r="K1500" s="211"/>
      <c r="L1500" s="211"/>
      <c r="M1500" s="211"/>
      <c r="N1500" s="211"/>
    </row>
    <row r="1501" spans="1:14">
      <c r="A1501" s="211"/>
      <c r="B1501" s="211"/>
      <c r="C1501" s="211"/>
      <c r="D1501" s="211"/>
      <c r="E1501" s="211"/>
      <c r="F1501" s="211"/>
      <c r="G1501" s="211"/>
      <c r="H1501" s="211"/>
      <c r="I1501" s="211"/>
      <c r="J1501" s="211"/>
      <c r="K1501" s="211"/>
      <c r="L1501" s="211"/>
      <c r="M1501" s="211"/>
      <c r="N1501" s="211"/>
    </row>
    <row r="1502" spans="1:14">
      <c r="A1502" s="211"/>
      <c r="B1502" s="211"/>
      <c r="C1502" s="211"/>
      <c r="D1502" s="211"/>
      <c r="E1502" s="211"/>
      <c r="F1502" s="211"/>
      <c r="G1502" s="211"/>
      <c r="H1502" s="211"/>
      <c r="I1502" s="211"/>
      <c r="J1502" s="211"/>
      <c r="K1502" s="211"/>
      <c r="L1502" s="211"/>
      <c r="M1502" s="211"/>
      <c r="N1502" s="211"/>
    </row>
    <row r="1503" spans="1:14">
      <c r="A1503" s="211"/>
      <c r="B1503" s="211"/>
      <c r="C1503" s="211"/>
      <c r="D1503" s="211"/>
      <c r="E1503" s="211"/>
      <c r="F1503" s="211"/>
      <c r="G1503" s="211"/>
      <c r="H1503" s="211"/>
      <c r="I1503" s="211"/>
      <c r="J1503" s="211"/>
      <c r="K1503" s="211"/>
      <c r="L1503" s="211"/>
      <c r="M1503" s="211"/>
      <c r="N1503" s="211"/>
    </row>
    <row r="1504" spans="1:14">
      <c r="A1504" s="211"/>
      <c r="B1504" s="211"/>
      <c r="C1504" s="211"/>
      <c r="D1504" s="211"/>
      <c r="E1504" s="211"/>
      <c r="F1504" s="211"/>
      <c r="G1504" s="211"/>
      <c r="H1504" s="211"/>
      <c r="I1504" s="211"/>
      <c r="J1504" s="211"/>
      <c r="K1504" s="211"/>
      <c r="L1504" s="211"/>
      <c r="M1504" s="211"/>
      <c r="N1504" s="211"/>
    </row>
    <row r="1505" spans="1:14">
      <c r="A1505" s="211"/>
      <c r="B1505" s="211"/>
      <c r="C1505" s="211"/>
      <c r="D1505" s="211"/>
      <c r="E1505" s="211"/>
      <c r="F1505" s="211"/>
      <c r="G1505" s="211"/>
      <c r="H1505" s="211"/>
      <c r="I1505" s="211"/>
      <c r="J1505" s="211"/>
      <c r="K1505" s="211"/>
      <c r="L1505" s="211"/>
      <c r="M1505" s="211"/>
      <c r="N1505" s="211"/>
    </row>
    <row r="1506" spans="1:14">
      <c r="A1506" s="211"/>
      <c r="B1506" s="211"/>
      <c r="C1506" s="211"/>
      <c r="D1506" s="211"/>
      <c r="E1506" s="211"/>
      <c r="F1506" s="211"/>
      <c r="G1506" s="211"/>
      <c r="H1506" s="211"/>
      <c r="I1506" s="211"/>
      <c r="J1506" s="211"/>
      <c r="K1506" s="211"/>
      <c r="L1506" s="211"/>
      <c r="M1506" s="211"/>
      <c r="N1506" s="211"/>
    </row>
    <row r="1507" spans="1:14">
      <c r="A1507" s="211"/>
      <c r="B1507" s="211"/>
      <c r="C1507" s="211"/>
      <c r="D1507" s="211"/>
      <c r="E1507" s="211"/>
      <c r="F1507" s="211"/>
      <c r="G1507" s="211"/>
      <c r="H1507" s="211"/>
      <c r="I1507" s="211"/>
      <c r="J1507" s="211"/>
      <c r="K1507" s="211"/>
      <c r="L1507" s="211"/>
      <c r="M1507" s="211"/>
      <c r="N1507" s="211"/>
    </row>
    <row r="1508" spans="1:14">
      <c r="A1508" s="211"/>
      <c r="B1508" s="211"/>
      <c r="C1508" s="211"/>
      <c r="D1508" s="211"/>
      <c r="E1508" s="211"/>
      <c r="F1508" s="211"/>
      <c r="G1508" s="211"/>
      <c r="H1508" s="211"/>
      <c r="I1508" s="211"/>
      <c r="J1508" s="211"/>
      <c r="K1508" s="211"/>
      <c r="L1508" s="211"/>
      <c r="M1508" s="211"/>
      <c r="N1508" s="211"/>
    </row>
    <row r="1509" spans="1:14">
      <c r="A1509" s="211"/>
      <c r="B1509" s="211"/>
      <c r="C1509" s="211"/>
      <c r="D1509" s="211"/>
      <c r="E1509" s="211"/>
      <c r="F1509" s="211"/>
      <c r="G1509" s="211"/>
      <c r="H1509" s="211"/>
      <c r="I1509" s="211"/>
      <c r="J1509" s="211"/>
      <c r="K1509" s="211"/>
      <c r="L1509" s="211"/>
      <c r="M1509" s="211"/>
      <c r="N1509" s="211"/>
    </row>
    <row r="1510" spans="1:14">
      <c r="A1510" s="211"/>
      <c r="B1510" s="211"/>
      <c r="C1510" s="211"/>
      <c r="D1510" s="211"/>
      <c r="E1510" s="211"/>
      <c r="F1510" s="211"/>
      <c r="G1510" s="211"/>
      <c r="H1510" s="211"/>
      <c r="I1510" s="211"/>
      <c r="J1510" s="211"/>
      <c r="K1510" s="211"/>
      <c r="L1510" s="211"/>
      <c r="M1510" s="211"/>
      <c r="N1510" s="211"/>
    </row>
    <row r="1511" spans="1:14">
      <c r="A1511" s="211"/>
      <c r="B1511" s="211"/>
      <c r="C1511" s="211"/>
      <c r="D1511" s="211"/>
      <c r="E1511" s="211"/>
      <c r="F1511" s="211"/>
      <c r="G1511" s="211"/>
      <c r="H1511" s="211"/>
      <c r="I1511" s="211"/>
      <c r="J1511" s="211"/>
      <c r="K1511" s="211"/>
      <c r="L1511" s="211"/>
      <c r="M1511" s="211"/>
      <c r="N1511" s="211"/>
    </row>
    <row r="1512" spans="1:14">
      <c r="A1512" s="211"/>
      <c r="B1512" s="211"/>
      <c r="C1512" s="211"/>
      <c r="D1512" s="211"/>
      <c r="E1512" s="211"/>
      <c r="F1512" s="211"/>
      <c r="G1512" s="211"/>
      <c r="H1512" s="211"/>
      <c r="I1512" s="211"/>
      <c r="J1512" s="211"/>
      <c r="K1512" s="211"/>
      <c r="L1512" s="211"/>
      <c r="M1512" s="211"/>
      <c r="N1512" s="211"/>
    </row>
    <row r="1513" spans="1:14">
      <c r="A1513" s="211"/>
      <c r="B1513" s="211"/>
      <c r="C1513" s="211"/>
      <c r="D1513" s="211"/>
      <c r="E1513" s="211"/>
      <c r="F1513" s="211"/>
      <c r="G1513" s="211"/>
      <c r="H1513" s="211"/>
      <c r="I1513" s="211"/>
      <c r="J1513" s="211"/>
      <c r="K1513" s="211"/>
      <c r="L1513" s="211"/>
      <c r="M1513" s="211"/>
      <c r="N1513" s="211"/>
    </row>
    <row r="1514" spans="1:14">
      <c r="A1514" s="211"/>
      <c r="B1514" s="211"/>
      <c r="C1514" s="211"/>
      <c r="D1514" s="211"/>
      <c r="E1514" s="211"/>
      <c r="F1514" s="211"/>
      <c r="G1514" s="211"/>
      <c r="H1514" s="211"/>
      <c r="I1514" s="211"/>
      <c r="J1514" s="211"/>
      <c r="K1514" s="211"/>
      <c r="L1514" s="211"/>
      <c r="M1514" s="211"/>
      <c r="N1514" s="211"/>
    </row>
    <row r="1515" spans="1:14">
      <c r="A1515" s="211"/>
      <c r="B1515" s="211"/>
      <c r="C1515" s="211"/>
      <c r="D1515" s="211"/>
      <c r="E1515" s="211"/>
      <c r="F1515" s="211"/>
      <c r="G1515" s="211"/>
      <c r="H1515" s="211"/>
      <c r="I1515" s="211"/>
      <c r="J1515" s="211"/>
      <c r="K1515" s="211"/>
      <c r="L1515" s="211"/>
      <c r="M1515" s="211"/>
      <c r="N1515" s="211"/>
    </row>
    <row r="1516" spans="1:14">
      <c r="A1516" s="211"/>
      <c r="B1516" s="211"/>
      <c r="C1516" s="211"/>
      <c r="D1516" s="211"/>
      <c r="E1516" s="211"/>
      <c r="F1516" s="211"/>
      <c r="G1516" s="211"/>
      <c r="H1516" s="211"/>
      <c r="I1516" s="211"/>
      <c r="J1516" s="211"/>
      <c r="K1516" s="211"/>
      <c r="L1516" s="211"/>
      <c r="M1516" s="211"/>
      <c r="N1516" s="211"/>
    </row>
    <row r="1517" spans="1:14">
      <c r="A1517" s="211"/>
      <c r="B1517" s="211"/>
      <c r="C1517" s="211"/>
      <c r="D1517" s="211"/>
      <c r="E1517" s="211"/>
      <c r="F1517" s="211"/>
      <c r="G1517" s="211"/>
      <c r="H1517" s="211"/>
      <c r="I1517" s="211"/>
      <c r="J1517" s="211"/>
      <c r="K1517" s="211"/>
      <c r="L1517" s="211"/>
      <c r="M1517" s="211"/>
      <c r="N1517" s="211"/>
    </row>
    <row r="1518" spans="1:14">
      <c r="A1518" s="211"/>
      <c r="B1518" s="211"/>
      <c r="C1518" s="211"/>
      <c r="D1518" s="211"/>
      <c r="E1518" s="211"/>
      <c r="F1518" s="211"/>
      <c r="G1518" s="211"/>
      <c r="H1518" s="211"/>
      <c r="I1518" s="211"/>
      <c r="J1518" s="211"/>
      <c r="K1518" s="211"/>
      <c r="L1518" s="211"/>
      <c r="M1518" s="211"/>
      <c r="N1518" s="211"/>
    </row>
    <row r="1519" spans="1:14">
      <c r="A1519" s="211"/>
      <c r="B1519" s="211"/>
      <c r="C1519" s="211"/>
      <c r="D1519" s="211"/>
      <c r="E1519" s="211"/>
      <c r="F1519" s="211"/>
      <c r="G1519" s="211"/>
      <c r="H1519" s="211"/>
      <c r="I1519" s="211"/>
      <c r="J1519" s="211"/>
      <c r="K1519" s="211"/>
      <c r="L1519" s="211"/>
      <c r="M1519" s="211"/>
      <c r="N1519" s="211"/>
    </row>
    <row r="1520" spans="1:14">
      <c r="A1520" s="211"/>
      <c r="B1520" s="211"/>
      <c r="C1520" s="211"/>
      <c r="D1520" s="211"/>
      <c r="E1520" s="211"/>
      <c r="F1520" s="211"/>
      <c r="G1520" s="211"/>
      <c r="H1520" s="211"/>
      <c r="I1520" s="211"/>
      <c r="J1520" s="211"/>
      <c r="K1520" s="211"/>
      <c r="L1520" s="211"/>
      <c r="M1520" s="211"/>
      <c r="N1520" s="211"/>
    </row>
    <row r="1521" spans="1:14">
      <c r="A1521" s="211"/>
      <c r="B1521" s="211"/>
      <c r="C1521" s="211"/>
      <c r="D1521" s="211"/>
      <c r="E1521" s="211"/>
      <c r="F1521" s="211"/>
      <c r="G1521" s="211"/>
      <c r="H1521" s="211"/>
      <c r="I1521" s="211"/>
      <c r="J1521" s="211"/>
      <c r="K1521" s="211"/>
      <c r="L1521" s="211"/>
      <c r="M1521" s="211"/>
      <c r="N1521" s="211"/>
    </row>
    <row r="1522" spans="1:14">
      <c r="A1522" s="211"/>
      <c r="B1522" s="211"/>
      <c r="C1522" s="211"/>
      <c r="D1522" s="211"/>
      <c r="E1522" s="211"/>
      <c r="F1522" s="211"/>
      <c r="G1522" s="211"/>
      <c r="H1522" s="211"/>
      <c r="I1522" s="211"/>
      <c r="J1522" s="211"/>
      <c r="K1522" s="211"/>
      <c r="L1522" s="211"/>
      <c r="M1522" s="211"/>
      <c r="N1522" s="211"/>
    </row>
    <row r="1523" spans="1:14">
      <c r="A1523" s="211"/>
      <c r="B1523" s="211"/>
      <c r="C1523" s="211"/>
      <c r="D1523" s="211"/>
      <c r="E1523" s="211"/>
      <c r="F1523" s="211"/>
      <c r="G1523" s="211"/>
      <c r="H1523" s="211"/>
      <c r="I1523" s="211"/>
      <c r="J1523" s="211"/>
      <c r="K1523" s="211"/>
      <c r="L1523" s="211"/>
      <c r="M1523" s="211"/>
      <c r="N1523" s="211"/>
    </row>
    <row r="1524" spans="1:14">
      <c r="A1524" s="211"/>
      <c r="B1524" s="211"/>
      <c r="C1524" s="211"/>
      <c r="D1524" s="211"/>
      <c r="E1524" s="211"/>
      <c r="F1524" s="211"/>
      <c r="G1524" s="211"/>
      <c r="H1524" s="211"/>
      <c r="I1524" s="211"/>
      <c r="J1524" s="211"/>
      <c r="K1524" s="211"/>
      <c r="L1524" s="211"/>
      <c r="M1524" s="211"/>
      <c r="N1524" s="211"/>
    </row>
    <row r="1525" spans="1:14">
      <c r="A1525" s="211"/>
      <c r="B1525" s="211"/>
      <c r="C1525" s="211"/>
      <c r="D1525" s="211"/>
      <c r="E1525" s="211"/>
      <c r="F1525" s="211"/>
      <c r="G1525" s="211"/>
      <c r="H1525" s="211"/>
      <c r="I1525" s="211"/>
      <c r="J1525" s="211"/>
      <c r="K1525" s="211"/>
      <c r="L1525" s="211"/>
      <c r="M1525" s="211"/>
      <c r="N1525" s="211"/>
    </row>
    <row r="1526" spans="1:14">
      <c r="A1526" s="211"/>
      <c r="B1526" s="211"/>
      <c r="C1526" s="211"/>
      <c r="D1526" s="211"/>
      <c r="E1526" s="211"/>
      <c r="F1526" s="211"/>
      <c r="G1526" s="211"/>
      <c r="H1526" s="211"/>
      <c r="I1526" s="211"/>
      <c r="J1526" s="211"/>
      <c r="K1526" s="211"/>
      <c r="L1526" s="211"/>
      <c r="M1526" s="211"/>
      <c r="N1526" s="211"/>
    </row>
    <row r="1527" spans="1:14">
      <c r="A1527" s="211"/>
      <c r="B1527" s="211"/>
      <c r="C1527" s="211"/>
      <c r="D1527" s="211"/>
      <c r="E1527" s="211"/>
      <c r="F1527" s="211"/>
      <c r="G1527" s="211"/>
      <c r="H1527" s="211"/>
      <c r="I1527" s="211"/>
      <c r="J1527" s="211"/>
      <c r="K1527" s="211"/>
      <c r="L1527" s="211"/>
      <c r="M1527" s="211"/>
      <c r="N1527" s="211"/>
    </row>
    <row r="1528" spans="1:14">
      <c r="A1528" s="211"/>
      <c r="B1528" s="211"/>
      <c r="C1528" s="211"/>
      <c r="D1528" s="211"/>
      <c r="E1528" s="211"/>
      <c r="F1528" s="211"/>
      <c r="G1528" s="211"/>
      <c r="H1528" s="211"/>
      <c r="I1528" s="211"/>
      <c r="J1528" s="211"/>
      <c r="K1528" s="211"/>
      <c r="L1528" s="211"/>
      <c r="M1528" s="211"/>
      <c r="N1528" s="211"/>
    </row>
    <row r="1529" spans="1:14">
      <c r="A1529" s="211"/>
      <c r="B1529" s="211"/>
      <c r="C1529" s="211"/>
      <c r="D1529" s="211"/>
      <c r="E1529" s="211"/>
      <c r="F1529" s="211"/>
      <c r="G1529" s="211"/>
      <c r="H1529" s="211"/>
      <c r="I1529" s="211"/>
      <c r="J1529" s="211"/>
      <c r="K1529" s="211"/>
      <c r="L1529" s="211"/>
      <c r="M1529" s="211"/>
      <c r="N1529" s="211"/>
    </row>
    <row r="1530" spans="1:14">
      <c r="A1530" s="211"/>
      <c r="B1530" s="211"/>
      <c r="C1530" s="211"/>
      <c r="D1530" s="211"/>
      <c r="E1530" s="211"/>
      <c r="F1530" s="211"/>
      <c r="G1530" s="211"/>
      <c r="H1530" s="211"/>
      <c r="I1530" s="211"/>
      <c r="J1530" s="211"/>
      <c r="K1530" s="211"/>
      <c r="L1530" s="211"/>
      <c r="M1530" s="211"/>
      <c r="N1530" s="211"/>
    </row>
  </sheetData>
  <sheetProtection sheet="1" objects="1" scenarios="1"/>
  <mergeCells count="43">
    <mergeCell ref="A11:B11"/>
    <mergeCell ref="H11:I11"/>
    <mergeCell ref="A10:B10"/>
    <mergeCell ref="H10:I10"/>
    <mergeCell ref="C33:E33"/>
    <mergeCell ref="C6:L6"/>
    <mergeCell ref="C53:E53"/>
    <mergeCell ref="J53:L53"/>
    <mergeCell ref="F7:H7"/>
    <mergeCell ref="F8:H8"/>
    <mergeCell ref="C13:E13"/>
    <mergeCell ref="J13:L13"/>
    <mergeCell ref="J33:L33"/>
    <mergeCell ref="C73:E73"/>
    <mergeCell ref="J73:L73"/>
    <mergeCell ref="C93:E93"/>
    <mergeCell ref="J93:L93"/>
    <mergeCell ref="C113:E113"/>
    <mergeCell ref="J113:L113"/>
    <mergeCell ref="C133:E133"/>
    <mergeCell ref="J133:L133"/>
    <mergeCell ref="C153:E153"/>
    <mergeCell ref="J153:L153"/>
    <mergeCell ref="C173:E173"/>
    <mergeCell ref="J173:L173"/>
    <mergeCell ref="C193:E193"/>
    <mergeCell ref="J193:L193"/>
    <mergeCell ref="C213:E213"/>
    <mergeCell ref="J213:L213"/>
    <mergeCell ref="C233:E233"/>
    <mergeCell ref="J233:L233"/>
    <mergeCell ref="C253:E253"/>
    <mergeCell ref="J253:L253"/>
    <mergeCell ref="C273:E273"/>
    <mergeCell ref="J273:L273"/>
    <mergeCell ref="C293:E293"/>
    <mergeCell ref="J293:L293"/>
    <mergeCell ref="C353:E353"/>
    <mergeCell ref="J353:L353"/>
    <mergeCell ref="C313:E313"/>
    <mergeCell ref="J313:L313"/>
    <mergeCell ref="C333:E333"/>
    <mergeCell ref="J333:L333"/>
  </mergeCells>
  <phoneticPr fontId="0" type="noConversion"/>
  <printOptions horizontalCentered="1"/>
  <pageMargins left="0" right="0" top="1.1811023622047245" bottom="0.39370078740157483" header="0.51181102362204722" footer="0.51181102362204722"/>
  <pageSetup paperSize="9" scale="88" orientation="landscape" horizontalDpi="4294967293" verticalDpi="300" r:id="rId1"/>
  <headerFooter alignWithMargins="0"/>
  <rowBreaks count="9" manualBreakCount="9">
    <brk id="12" max="29" man="1"/>
    <brk id="51" max="16383" man="1"/>
    <brk id="91" max="16383" man="1"/>
    <brk id="131" max="16383" man="1"/>
    <brk id="171" max="16383" man="1"/>
    <brk id="211" max="16383" man="1"/>
    <brk id="251" max="16383" man="1"/>
    <brk id="291" max="16383" man="1"/>
    <brk id="331" max="16383" man="1"/>
  </rowBreaks>
  <colBreaks count="1" manualBreakCount="1">
    <brk id="13" max="3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S115"/>
  <sheetViews>
    <sheetView showGridLines="0" workbookViewId="0"/>
  </sheetViews>
  <sheetFormatPr baseColWidth="10" defaultColWidth="9.7109375" defaultRowHeight="9.9499999999999993" customHeight="1"/>
  <cols>
    <col min="1" max="1" width="4.7109375" style="129" customWidth="1"/>
    <col min="2" max="2" width="23.7109375" style="129" customWidth="1"/>
    <col min="3" max="14" width="8.7109375" style="129" customWidth="1"/>
    <col min="15" max="17" width="9.7109375" style="129" customWidth="1"/>
    <col min="18" max="18" width="5.5703125" style="129" customWidth="1"/>
    <col min="19" max="19" width="55.85546875" style="129" customWidth="1"/>
    <col min="20" max="16384" width="9.7109375" style="129"/>
  </cols>
  <sheetData>
    <row r="1" spans="1:19" ht="9.9499999999999993" customHeight="1">
      <c r="A1" s="126" t="s">
        <v>114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S1" s="129" t="s">
        <v>131</v>
      </c>
    </row>
    <row r="2" spans="1:19" ht="9.9499999999999993" customHeight="1" thickBot="1"/>
    <row r="3" spans="1:19" ht="9.9499999999999993" customHeight="1" thickTop="1" thickBot="1">
      <c r="A3" s="130" t="s">
        <v>24</v>
      </c>
      <c r="B3" s="131" t="s">
        <v>25</v>
      </c>
      <c r="C3" s="143" t="s">
        <v>17</v>
      </c>
      <c r="D3" s="143" t="s">
        <v>18</v>
      </c>
      <c r="E3" s="143" t="s">
        <v>19</v>
      </c>
      <c r="F3" s="143" t="s">
        <v>22</v>
      </c>
      <c r="G3" s="143" t="s">
        <v>23</v>
      </c>
      <c r="H3" s="143" t="s">
        <v>27</v>
      </c>
      <c r="I3" s="143" t="s">
        <v>28</v>
      </c>
      <c r="J3" s="143" t="s">
        <v>29</v>
      </c>
      <c r="K3" s="143" t="s">
        <v>30</v>
      </c>
      <c r="L3" s="143" t="s">
        <v>31</v>
      </c>
      <c r="M3" s="143" t="s">
        <v>32</v>
      </c>
      <c r="N3" s="145" t="s">
        <v>33</v>
      </c>
      <c r="O3" s="132">
        <f>'Kat. I'!$A$2</f>
        <v>0</v>
      </c>
      <c r="R3" s="172" t="s">
        <v>130</v>
      </c>
      <c r="S3" s="171"/>
    </row>
    <row r="4" spans="1:19" ht="9.9499999999999993" customHeight="1" thickTop="1">
      <c r="A4" s="133">
        <f>IF('Kat. I'!A7="","",'Kat. I'!A7)</f>
        <v>100</v>
      </c>
      <c r="B4" s="134" t="str">
        <f>IF('Kat. I'!C7="","",'Kat. I'!C7)</f>
        <v>Ladenverkauf</v>
      </c>
      <c r="C4" s="170">
        <f ca="1">IF('Kat. I'!$C7="","",'Kat. I'!$D7)</f>
        <v>0</v>
      </c>
      <c r="D4" s="170">
        <f ca="1">IF('Kat. I'!$C67="","",'Kat. I'!$D67)</f>
        <v>0</v>
      </c>
      <c r="E4" s="170">
        <f ca="1">IF('Kat. I'!$C127="","",'Kat. I'!$D127)</f>
        <v>0</v>
      </c>
      <c r="F4" s="170">
        <f ca="1">IF('Kat. I'!$C187="","",'Kat. I'!$D187)</f>
        <v>0</v>
      </c>
      <c r="G4" s="170">
        <f ca="1">IF('Kat. I'!$C247="","",'Kat. I'!$D247)</f>
        <v>0</v>
      </c>
      <c r="H4" s="170">
        <f ca="1">IF('Kat. I'!$C307="","",'Kat. I'!$D307)</f>
        <v>0</v>
      </c>
      <c r="I4" s="170">
        <f ca="1">IF('Kat. I'!$C367="","",'Kat. I'!$D367)</f>
        <v>0</v>
      </c>
      <c r="J4" s="170">
        <f ca="1">IF('Kat. I'!$C427="","",'Kat. I'!$D427)</f>
        <v>0</v>
      </c>
      <c r="K4" s="170">
        <f ca="1">IF('Kat. I'!$C487="","",'Kat. I'!$D487)</f>
        <v>0</v>
      </c>
      <c r="L4" s="170">
        <f ca="1">IF('Kat. I'!$C547="","",'Kat. I'!$D547)</f>
        <v>0</v>
      </c>
      <c r="M4" s="170">
        <f ca="1">IF('Kat. I'!$C607="","",'Kat. I'!$D607)</f>
        <v>0</v>
      </c>
      <c r="N4" s="170">
        <f ca="1">IF('Kat. I'!$C667="","",'Kat. I'!$D667)</f>
        <v>0</v>
      </c>
      <c r="O4" s="170">
        <f ca="1">IF(B4="","",SUM(C4:N4))</f>
        <v>0</v>
      </c>
      <c r="R4" s="172" t="s">
        <v>132</v>
      </c>
      <c r="S4" s="171"/>
    </row>
    <row r="5" spans="1:19" ht="9.9499999999999993" customHeight="1">
      <c r="A5" s="133">
        <f>IF('Kat. I'!A8="","",'Kat. I'!A8)</f>
        <v>101</v>
      </c>
      <c r="B5" s="134" t="str">
        <f>IF('Kat. I'!C8="","",'Kat. I'!C8)</f>
        <v>Verkauf über Internet</v>
      </c>
      <c r="C5" s="170">
        <f ca="1">IF('Kat. I'!$C8="","",'Kat. I'!$D8)</f>
        <v>0</v>
      </c>
      <c r="D5" s="170">
        <f ca="1">IF('Kat. I'!$C68="","",'Kat. I'!$D68)</f>
        <v>0</v>
      </c>
      <c r="E5" s="170">
        <f ca="1">IF('Kat. I'!$C128="","",'Kat. I'!$D128)</f>
        <v>0</v>
      </c>
      <c r="F5" s="170">
        <f ca="1">IF('Kat. I'!$C188="","",'Kat. I'!$D188)</f>
        <v>0</v>
      </c>
      <c r="G5" s="170">
        <f ca="1">IF('Kat. I'!$C248="","",'Kat. I'!$D248)</f>
        <v>0</v>
      </c>
      <c r="H5" s="170">
        <f ca="1">IF('Kat. I'!$C308="","",'Kat. I'!$D308)</f>
        <v>0</v>
      </c>
      <c r="I5" s="170">
        <f ca="1">IF('Kat. I'!$C368="","",'Kat. I'!$D368)</f>
        <v>0</v>
      </c>
      <c r="J5" s="170">
        <f ca="1">IF('Kat. I'!$C428="","",'Kat. I'!$D428)</f>
        <v>0</v>
      </c>
      <c r="K5" s="170">
        <f ca="1">IF('Kat. I'!$C488="","",'Kat. I'!$D488)</f>
        <v>0</v>
      </c>
      <c r="L5" s="170">
        <f ca="1">IF('Kat. I'!$C548="","",'Kat. I'!$D548)</f>
        <v>0</v>
      </c>
      <c r="M5" s="170">
        <f ca="1">IF('Kat. I'!$C608="","",'Kat. I'!$D608)</f>
        <v>0</v>
      </c>
      <c r="N5" s="170">
        <f ca="1">IF('Kat. I'!$C668="","",'Kat. I'!$D668)</f>
        <v>0</v>
      </c>
      <c r="O5" s="170">
        <f t="shared" ref="O5:O54" ca="1" si="0">IF(B5="","",SUM(C5:N5))</f>
        <v>0</v>
      </c>
      <c r="R5" s="172" t="s">
        <v>133</v>
      </c>
      <c r="S5" s="171"/>
    </row>
    <row r="6" spans="1:19" ht="9.9499999999999993" customHeight="1">
      <c r="A6" s="133">
        <f>IF('Kat. I'!A9="","",'Kat. I'!A9)</f>
        <v>102</v>
      </c>
      <c r="B6" s="134" t="str">
        <f>IF('Kat. I'!C9="","",'Kat. I'!C9)</f>
        <v/>
      </c>
      <c r="C6" s="170" t="str">
        <f>IF('Kat. I'!$C9="","",'Kat. I'!$D9)</f>
        <v/>
      </c>
      <c r="D6" s="170" t="str">
        <f>IF('Kat. I'!$C69="","",'Kat. I'!$D69)</f>
        <v/>
      </c>
      <c r="E6" s="170" t="str">
        <f>IF('Kat. I'!$C129="","",'Kat. I'!$D129)</f>
        <v/>
      </c>
      <c r="F6" s="170" t="str">
        <f>IF('Kat. I'!$C189="","",'Kat. I'!$D189)</f>
        <v/>
      </c>
      <c r="G6" s="170" t="str">
        <f>IF('Kat. I'!$C249="","",'Kat. I'!$D249)</f>
        <v/>
      </c>
      <c r="H6" s="170" t="str">
        <f>IF('Kat. I'!$C309="","",'Kat. I'!$D309)</f>
        <v/>
      </c>
      <c r="I6" s="170" t="str">
        <f>IF('Kat. I'!$C369="","",'Kat. I'!$D369)</f>
        <v/>
      </c>
      <c r="J6" s="170" t="str">
        <f>IF('Kat. I'!$C429="","",'Kat. I'!$D429)</f>
        <v/>
      </c>
      <c r="K6" s="170" t="str">
        <f>IF('Kat. I'!$C489="","",'Kat. I'!$D489)</f>
        <v/>
      </c>
      <c r="L6" s="170" t="str">
        <f>IF('Kat. I'!$C549="","",'Kat. I'!$D549)</f>
        <v/>
      </c>
      <c r="M6" s="170" t="str">
        <f>IF('Kat. I'!$C609="","",'Kat. I'!$D609)</f>
        <v/>
      </c>
      <c r="N6" s="170" t="str">
        <f>IF('Kat. I'!$C669="","",'Kat. I'!$D669)</f>
        <v/>
      </c>
      <c r="O6" s="170" t="str">
        <f t="shared" si="0"/>
        <v/>
      </c>
      <c r="R6" s="172" t="s">
        <v>134</v>
      </c>
      <c r="S6" s="171"/>
    </row>
    <row r="7" spans="1:19" ht="9.9499999999999993" customHeight="1">
      <c r="A7" s="133">
        <f>IF('Kat. I'!A10="","",'Kat. I'!A10)</f>
        <v>103</v>
      </c>
      <c r="B7" s="134" t="str">
        <f>IF('Kat. I'!C10="","",'Kat. I'!C10)</f>
        <v/>
      </c>
      <c r="C7" s="170" t="str">
        <f>IF('Kat. I'!$C10="","",'Kat. I'!$D10)</f>
        <v/>
      </c>
      <c r="D7" s="170" t="str">
        <f>IF('Kat. I'!$C70="","",'Kat. I'!$D70)</f>
        <v/>
      </c>
      <c r="E7" s="170" t="str">
        <f>IF('Kat. I'!$C130="","",'Kat. I'!$D130)</f>
        <v/>
      </c>
      <c r="F7" s="170" t="str">
        <f>IF('Kat. I'!$C190="","",'Kat. I'!$D190)</f>
        <v/>
      </c>
      <c r="G7" s="170" t="str">
        <f>IF('Kat. I'!$C250="","",'Kat. I'!$D250)</f>
        <v/>
      </c>
      <c r="H7" s="170" t="str">
        <f>IF('Kat. I'!$C310="","",'Kat. I'!$D310)</f>
        <v/>
      </c>
      <c r="I7" s="170" t="str">
        <f>IF('Kat. I'!$C370="","",'Kat. I'!$D370)</f>
        <v/>
      </c>
      <c r="J7" s="170" t="str">
        <f>IF('Kat. I'!$C430="","",'Kat. I'!$D430)</f>
        <v/>
      </c>
      <c r="K7" s="170" t="str">
        <f>IF('Kat. I'!$C490="","",'Kat. I'!$D490)</f>
        <v/>
      </c>
      <c r="L7" s="170" t="str">
        <f>IF('Kat. I'!$C550="","",'Kat. I'!$D550)</f>
        <v/>
      </c>
      <c r="M7" s="170" t="str">
        <f>IF('Kat. I'!$C610="","",'Kat. I'!$D610)</f>
        <v/>
      </c>
      <c r="N7" s="170" t="str">
        <f>IF('Kat. I'!$C670="","",'Kat. I'!$D670)</f>
        <v/>
      </c>
      <c r="O7" s="170" t="str">
        <f t="shared" si="0"/>
        <v/>
      </c>
      <c r="R7" s="172" t="s">
        <v>135</v>
      </c>
      <c r="S7" s="171"/>
    </row>
    <row r="8" spans="1:19" ht="9.9499999999999993" customHeight="1">
      <c r="A8" s="133">
        <f>IF('Kat. I'!A11="","",'Kat. I'!A11)</f>
        <v>104</v>
      </c>
      <c r="B8" s="134" t="str">
        <f>IF('Kat. I'!C11="","",'Kat. I'!C11)</f>
        <v/>
      </c>
      <c r="C8" s="170" t="str">
        <f>IF('Kat. I'!$C11="","",'Kat. I'!$D11)</f>
        <v/>
      </c>
      <c r="D8" s="170" t="str">
        <f>IF('Kat. I'!$C71="","",'Kat. I'!$D71)</f>
        <v/>
      </c>
      <c r="E8" s="170" t="str">
        <f>IF('Kat. I'!$C131="","",'Kat. I'!$D131)</f>
        <v/>
      </c>
      <c r="F8" s="170" t="str">
        <f>IF('Kat. I'!$C191="","",'Kat. I'!$D191)</f>
        <v/>
      </c>
      <c r="G8" s="170" t="str">
        <f>IF('Kat. I'!$C251="","",'Kat. I'!$D251)</f>
        <v/>
      </c>
      <c r="H8" s="170" t="str">
        <f>IF('Kat. I'!$C311="","",'Kat. I'!$D311)</f>
        <v/>
      </c>
      <c r="I8" s="170" t="str">
        <f>IF('Kat. I'!$C371="","",'Kat. I'!$D371)</f>
        <v/>
      </c>
      <c r="J8" s="170" t="str">
        <f>IF('Kat. I'!$C431="","",'Kat. I'!$D431)</f>
        <v/>
      </c>
      <c r="K8" s="170" t="str">
        <f>IF('Kat. I'!$C491="","",'Kat. I'!$D491)</f>
        <v/>
      </c>
      <c r="L8" s="170" t="str">
        <f>IF('Kat. I'!$C551="","",'Kat. I'!$D551)</f>
        <v/>
      </c>
      <c r="M8" s="170" t="str">
        <f>IF('Kat. I'!$C611="","",'Kat. I'!$D611)</f>
        <v/>
      </c>
      <c r="N8" s="170" t="str">
        <f>IF('Kat. I'!$C671="","",'Kat. I'!$D671)</f>
        <v/>
      </c>
      <c r="O8" s="170" t="str">
        <f t="shared" si="0"/>
        <v/>
      </c>
      <c r="R8" s="172" t="s">
        <v>136</v>
      </c>
      <c r="S8" s="171"/>
    </row>
    <row r="9" spans="1:19" ht="9.9499999999999993" customHeight="1">
      <c r="A9" s="133">
        <f>IF('Kat. I'!A12="","",'Kat. I'!A12)</f>
        <v>105</v>
      </c>
      <c r="B9" s="134" t="str">
        <f>IF('Kat. I'!C12="","",'Kat. I'!C12)</f>
        <v/>
      </c>
      <c r="C9" s="170" t="str">
        <f>IF('Kat. I'!$C12="","",'Kat. I'!$D12)</f>
        <v/>
      </c>
      <c r="D9" s="170" t="str">
        <f>IF('Kat. I'!$C72="","",'Kat. I'!$D72)</f>
        <v/>
      </c>
      <c r="E9" s="170" t="str">
        <f>IF('Kat. I'!$C132="","",'Kat. I'!$D132)</f>
        <v/>
      </c>
      <c r="F9" s="170" t="str">
        <f>IF('Kat. I'!$C192="","",'Kat. I'!$D192)</f>
        <v/>
      </c>
      <c r="G9" s="170" t="str">
        <f>IF('Kat. I'!$C252="","",'Kat. I'!$D252)</f>
        <v/>
      </c>
      <c r="H9" s="170" t="str">
        <f>IF('Kat. I'!$C312="","",'Kat. I'!$D312)</f>
        <v/>
      </c>
      <c r="I9" s="170" t="str">
        <f>IF('Kat. I'!$C372="","",'Kat. I'!$D372)</f>
        <v/>
      </c>
      <c r="J9" s="170" t="str">
        <f>IF('Kat. I'!$C432="","",'Kat. I'!$D432)</f>
        <v/>
      </c>
      <c r="K9" s="170" t="str">
        <f>IF('Kat. I'!$C492="","",'Kat. I'!$D492)</f>
        <v/>
      </c>
      <c r="L9" s="170" t="str">
        <f>IF('Kat. I'!$C552="","",'Kat. I'!$D552)</f>
        <v/>
      </c>
      <c r="M9" s="170" t="str">
        <f>IF('Kat. I'!$C612="","",'Kat. I'!$D612)</f>
        <v/>
      </c>
      <c r="N9" s="170" t="str">
        <f>IF('Kat. I'!$C672="","",'Kat. I'!$D672)</f>
        <v/>
      </c>
      <c r="O9" s="170" t="str">
        <f t="shared" si="0"/>
        <v/>
      </c>
      <c r="R9" s="172" t="s">
        <v>137</v>
      </c>
      <c r="S9" s="171"/>
    </row>
    <row r="10" spans="1:19" ht="9.9499999999999993" customHeight="1">
      <c r="A10" s="133">
        <f>IF('Kat. I'!A13="","",'Kat. I'!A13)</f>
        <v>106</v>
      </c>
      <c r="B10" s="134" t="str">
        <f>IF('Kat. I'!C13="","",'Kat. I'!C13)</f>
        <v/>
      </c>
      <c r="C10" s="170" t="str">
        <f>IF('Kat. I'!$C13="","",'Kat. I'!$D13)</f>
        <v/>
      </c>
      <c r="D10" s="170" t="str">
        <f>IF('Kat. I'!$C73="","",'Kat. I'!$D73)</f>
        <v/>
      </c>
      <c r="E10" s="170" t="str">
        <f>IF('Kat. I'!$C133="","",'Kat. I'!$D133)</f>
        <v/>
      </c>
      <c r="F10" s="170" t="str">
        <f>IF('Kat. I'!$C193="","",'Kat. I'!$D193)</f>
        <v/>
      </c>
      <c r="G10" s="170" t="str">
        <f>IF('Kat. I'!$C253="","",'Kat. I'!$D253)</f>
        <v/>
      </c>
      <c r="H10" s="170" t="str">
        <f>IF('Kat. I'!$C313="","",'Kat. I'!$D313)</f>
        <v/>
      </c>
      <c r="I10" s="170" t="str">
        <f>IF('Kat. I'!$C373="","",'Kat. I'!$D373)</f>
        <v/>
      </c>
      <c r="J10" s="170" t="str">
        <f>IF('Kat. I'!$C433="","",'Kat. I'!$D433)</f>
        <v/>
      </c>
      <c r="K10" s="170" t="str">
        <f>IF('Kat. I'!$C493="","",'Kat. I'!$D493)</f>
        <v/>
      </c>
      <c r="L10" s="170" t="str">
        <f>IF('Kat. I'!$C553="","",'Kat. I'!$D553)</f>
        <v/>
      </c>
      <c r="M10" s="170" t="str">
        <f>IF('Kat. I'!$C613="","",'Kat. I'!$D613)</f>
        <v/>
      </c>
      <c r="N10" s="170" t="str">
        <f>IF('Kat. I'!$C673="","",'Kat. I'!$D673)</f>
        <v/>
      </c>
      <c r="O10" s="170" t="str">
        <f t="shared" si="0"/>
        <v/>
      </c>
      <c r="R10" s="172" t="s">
        <v>138</v>
      </c>
      <c r="S10" s="171"/>
    </row>
    <row r="11" spans="1:19" ht="9.9499999999999993" customHeight="1">
      <c r="A11" s="133">
        <f>IF('Kat. I'!A14="","",'Kat. I'!A14)</f>
        <v>107</v>
      </c>
      <c r="B11" s="134" t="str">
        <f>IF('Kat. I'!C14="","",'Kat. I'!C14)</f>
        <v/>
      </c>
      <c r="C11" s="170" t="str">
        <f>IF('Kat. I'!$C14="","",'Kat. I'!$D14)</f>
        <v/>
      </c>
      <c r="D11" s="170" t="str">
        <f>IF('Kat. I'!$C74="","",'Kat. I'!$D74)</f>
        <v/>
      </c>
      <c r="E11" s="170" t="str">
        <f>IF('Kat. I'!$C134="","",'Kat. I'!$D134)</f>
        <v/>
      </c>
      <c r="F11" s="170" t="str">
        <f>IF('Kat. I'!$C194="","",'Kat. I'!$D194)</f>
        <v/>
      </c>
      <c r="G11" s="170" t="str">
        <f>IF('Kat. I'!$C254="","",'Kat. I'!$D254)</f>
        <v/>
      </c>
      <c r="H11" s="170" t="str">
        <f>IF('Kat. I'!$C314="","",'Kat. I'!$D314)</f>
        <v/>
      </c>
      <c r="I11" s="170" t="str">
        <f>IF('Kat. I'!$C374="","",'Kat. I'!$D374)</f>
        <v/>
      </c>
      <c r="J11" s="170" t="str">
        <f>IF('Kat. I'!$C434="","",'Kat. I'!$D434)</f>
        <v/>
      </c>
      <c r="K11" s="170" t="str">
        <f>IF('Kat. I'!$C494="","",'Kat. I'!$D494)</f>
        <v/>
      </c>
      <c r="L11" s="170" t="str">
        <f>IF('Kat. I'!$C554="","",'Kat. I'!$D554)</f>
        <v/>
      </c>
      <c r="M11" s="170" t="str">
        <f>IF('Kat. I'!$C614="","",'Kat. I'!$D614)</f>
        <v/>
      </c>
      <c r="N11" s="170" t="str">
        <f>IF('Kat. I'!$C674="","",'Kat. I'!$D674)</f>
        <v/>
      </c>
      <c r="O11" s="170" t="str">
        <f t="shared" si="0"/>
        <v/>
      </c>
      <c r="R11" s="172" t="s">
        <v>140</v>
      </c>
      <c r="S11" s="171"/>
    </row>
    <row r="12" spans="1:19" ht="9.9499999999999993" customHeight="1">
      <c r="A12" s="133">
        <f>IF('Kat. I'!A15="","",'Kat. I'!A15)</f>
        <v>108</v>
      </c>
      <c r="B12" s="134" t="str">
        <f>IF('Kat. I'!C15="","",'Kat. I'!C15)</f>
        <v/>
      </c>
      <c r="C12" s="170" t="str">
        <f>IF('Kat. I'!$C15="","",'Kat. I'!$D15)</f>
        <v/>
      </c>
      <c r="D12" s="170" t="str">
        <f>IF('Kat. I'!$C75="","",'Kat. I'!$D75)</f>
        <v/>
      </c>
      <c r="E12" s="170" t="str">
        <f>IF('Kat. I'!$C135="","",'Kat. I'!$D135)</f>
        <v/>
      </c>
      <c r="F12" s="170" t="str">
        <f>IF('Kat. I'!$C195="","",'Kat. I'!$D195)</f>
        <v/>
      </c>
      <c r="G12" s="170" t="str">
        <f>IF('Kat. I'!$C255="","",'Kat. I'!$D255)</f>
        <v/>
      </c>
      <c r="H12" s="170" t="str">
        <f>IF('Kat. I'!$C315="","",'Kat. I'!$D315)</f>
        <v/>
      </c>
      <c r="I12" s="170" t="str">
        <f>IF('Kat. I'!$C375="","",'Kat. I'!$D375)</f>
        <v/>
      </c>
      <c r="J12" s="170" t="str">
        <f>IF('Kat. I'!$C435="","",'Kat. I'!$D435)</f>
        <v/>
      </c>
      <c r="K12" s="170" t="str">
        <f>IF('Kat. I'!$C495="","",'Kat. I'!$D495)</f>
        <v/>
      </c>
      <c r="L12" s="170" t="str">
        <f>IF('Kat. I'!$C555="","",'Kat. I'!$D555)</f>
        <v/>
      </c>
      <c r="M12" s="170" t="str">
        <f>IF('Kat. I'!$C615="","",'Kat. I'!$D615)</f>
        <v/>
      </c>
      <c r="N12" s="170" t="str">
        <f>IF('Kat. I'!$C675="","",'Kat. I'!$D675)</f>
        <v/>
      </c>
      <c r="O12" s="170" t="str">
        <f t="shared" si="0"/>
        <v/>
      </c>
      <c r="R12" s="172" t="s">
        <v>139</v>
      </c>
      <c r="S12" s="171"/>
    </row>
    <row r="13" spans="1:19" ht="9.9499999999999993" customHeight="1">
      <c r="A13" s="133">
        <f>IF('Kat. I'!A16="","",'Kat. I'!A16)</f>
        <v>109</v>
      </c>
      <c r="B13" s="134" t="str">
        <f>IF('Kat. I'!C16="","",'Kat. I'!C16)</f>
        <v/>
      </c>
      <c r="C13" s="170" t="str">
        <f>IF('Kat. I'!$C16="","",'Kat. I'!$D16)</f>
        <v/>
      </c>
      <c r="D13" s="170" t="str">
        <f>IF('Kat. I'!$C76="","",'Kat. I'!$D76)</f>
        <v/>
      </c>
      <c r="E13" s="170" t="str">
        <f>IF('Kat. I'!$C136="","",'Kat. I'!$D136)</f>
        <v/>
      </c>
      <c r="F13" s="170" t="str">
        <f>IF('Kat. I'!$C196="","",'Kat. I'!$D196)</f>
        <v/>
      </c>
      <c r="G13" s="170" t="str">
        <f>IF('Kat. I'!$C256="","",'Kat. I'!$D256)</f>
        <v/>
      </c>
      <c r="H13" s="170" t="str">
        <f>IF('Kat. I'!$C316="","",'Kat. I'!$D316)</f>
        <v/>
      </c>
      <c r="I13" s="170" t="str">
        <f>IF('Kat. I'!$C376="","",'Kat. I'!$D376)</f>
        <v/>
      </c>
      <c r="J13" s="170" t="str">
        <f>IF('Kat. I'!$C436="","",'Kat. I'!$D436)</f>
        <v/>
      </c>
      <c r="K13" s="170" t="str">
        <f>IF('Kat. I'!$C496="","",'Kat. I'!$D496)</f>
        <v/>
      </c>
      <c r="L13" s="170" t="str">
        <f>IF('Kat. I'!$C556="","",'Kat. I'!$D556)</f>
        <v/>
      </c>
      <c r="M13" s="170" t="str">
        <f>IF('Kat. I'!$C616="","",'Kat. I'!$D616)</f>
        <v/>
      </c>
      <c r="N13" s="170" t="str">
        <f>IF('Kat. I'!$C676="","",'Kat. I'!$D676)</f>
        <v/>
      </c>
      <c r="O13" s="170" t="str">
        <f t="shared" si="0"/>
        <v/>
      </c>
      <c r="R13" s="172" t="s">
        <v>141</v>
      </c>
      <c r="S13" s="171"/>
    </row>
    <row r="14" spans="1:19" ht="9.9499999999999993" customHeight="1">
      <c r="A14" s="133">
        <f>IF('Kat. I'!A17="","",'Kat. I'!A17)</f>
        <v>110</v>
      </c>
      <c r="B14" s="134" t="str">
        <f>IF('Kat. I'!C17="","",'Kat. I'!C17)</f>
        <v/>
      </c>
      <c r="C14" s="170" t="str">
        <f>IF('Kat. I'!$C17="","",'Kat. I'!$D17)</f>
        <v/>
      </c>
      <c r="D14" s="170" t="str">
        <f>IF('Kat. I'!$C77="","",'Kat. I'!$D77)</f>
        <v/>
      </c>
      <c r="E14" s="170" t="str">
        <f>IF('Kat. I'!$C137="","",'Kat. I'!$D137)</f>
        <v/>
      </c>
      <c r="F14" s="170" t="str">
        <f>IF('Kat. I'!$C197="","",'Kat. I'!$D197)</f>
        <v/>
      </c>
      <c r="G14" s="170" t="str">
        <f>IF('Kat. I'!$C257="","",'Kat. I'!$D257)</f>
        <v/>
      </c>
      <c r="H14" s="170" t="str">
        <f>IF('Kat. I'!$C317="","",'Kat. I'!$D317)</f>
        <v/>
      </c>
      <c r="I14" s="170" t="str">
        <f>IF('Kat. I'!$C377="","",'Kat. I'!$D377)</f>
        <v/>
      </c>
      <c r="J14" s="170" t="str">
        <f>IF('Kat. I'!$C437="","",'Kat. I'!$D437)</f>
        <v/>
      </c>
      <c r="K14" s="170" t="str">
        <f>IF('Kat. I'!$C497="","",'Kat. I'!$D497)</f>
        <v/>
      </c>
      <c r="L14" s="170" t="str">
        <f>IF('Kat. I'!$C557="","",'Kat. I'!$D557)</f>
        <v/>
      </c>
      <c r="M14" s="170" t="str">
        <f>IF('Kat. I'!$C617="","",'Kat. I'!$D617)</f>
        <v/>
      </c>
      <c r="N14" s="170" t="str">
        <f>IF('Kat. I'!$C677="","",'Kat. I'!$D677)</f>
        <v/>
      </c>
      <c r="O14" s="170" t="str">
        <f t="shared" si="0"/>
        <v/>
      </c>
      <c r="R14" s="172" t="s">
        <v>142</v>
      </c>
      <c r="S14" s="171"/>
    </row>
    <row r="15" spans="1:19" ht="9.9499999999999993" customHeight="1">
      <c r="A15" s="133">
        <f>IF('Kat. I'!A18="","",'Kat. I'!A18)</f>
        <v>111</v>
      </c>
      <c r="B15" s="134" t="str">
        <f>IF('Kat. I'!C18="","",'Kat. I'!C18)</f>
        <v/>
      </c>
      <c r="C15" s="170" t="str">
        <f>IF('Kat. I'!$C18="","",'Kat. I'!$D18)</f>
        <v/>
      </c>
      <c r="D15" s="170" t="str">
        <f>IF('Kat. I'!$C78="","",'Kat. I'!$D78)</f>
        <v/>
      </c>
      <c r="E15" s="170" t="str">
        <f>IF('Kat. I'!$C138="","",'Kat. I'!$D138)</f>
        <v/>
      </c>
      <c r="F15" s="170" t="str">
        <f>IF('Kat. I'!$C198="","",'Kat. I'!$D198)</f>
        <v/>
      </c>
      <c r="G15" s="170" t="str">
        <f>IF('Kat. I'!$C258="","",'Kat. I'!$D258)</f>
        <v/>
      </c>
      <c r="H15" s="170" t="str">
        <f>IF('Kat. I'!$C318="","",'Kat. I'!$D318)</f>
        <v/>
      </c>
      <c r="I15" s="170" t="str">
        <f>IF('Kat. I'!$C378="","",'Kat. I'!$D378)</f>
        <v/>
      </c>
      <c r="J15" s="170" t="str">
        <f>IF('Kat. I'!$C438="","",'Kat. I'!$D438)</f>
        <v/>
      </c>
      <c r="K15" s="170" t="str">
        <f>IF('Kat. I'!$C498="","",'Kat. I'!$D498)</f>
        <v/>
      </c>
      <c r="L15" s="170" t="str">
        <f>IF('Kat. I'!$C558="","",'Kat. I'!$D558)</f>
        <v/>
      </c>
      <c r="M15" s="170" t="str">
        <f>IF('Kat. I'!$C618="","",'Kat. I'!$D618)</f>
        <v/>
      </c>
      <c r="N15" s="170" t="str">
        <f>IF('Kat. I'!$C678="","",'Kat. I'!$D678)</f>
        <v/>
      </c>
      <c r="O15" s="170" t="str">
        <f t="shared" si="0"/>
        <v/>
      </c>
      <c r="R15" s="172" t="s">
        <v>143</v>
      </c>
      <c r="S15" s="171"/>
    </row>
    <row r="16" spans="1:19" ht="9.9499999999999993" customHeight="1">
      <c r="A16" s="133">
        <f>IF('Kat. I'!A19="","",'Kat. I'!A19)</f>
        <v>112</v>
      </c>
      <c r="B16" s="134" t="str">
        <f>IF('Kat. I'!C19="","",'Kat. I'!C19)</f>
        <v/>
      </c>
      <c r="C16" s="170" t="str">
        <f>IF('Kat. I'!$C19="","",'Kat. I'!$D19)</f>
        <v/>
      </c>
      <c r="D16" s="170" t="str">
        <f>IF('Kat. I'!$C79="","",'Kat. I'!$D79)</f>
        <v/>
      </c>
      <c r="E16" s="170" t="str">
        <f>IF('Kat. I'!$C139="","",'Kat. I'!$D139)</f>
        <v/>
      </c>
      <c r="F16" s="170" t="str">
        <f>IF('Kat. I'!$C199="","",'Kat. I'!$D199)</f>
        <v/>
      </c>
      <c r="G16" s="170" t="str">
        <f>IF('Kat. I'!$C259="","",'Kat. I'!$D259)</f>
        <v/>
      </c>
      <c r="H16" s="170" t="str">
        <f>IF('Kat. I'!$C319="","",'Kat. I'!$D319)</f>
        <v/>
      </c>
      <c r="I16" s="170" t="str">
        <f>IF('Kat. I'!$C379="","",'Kat. I'!$D379)</f>
        <v/>
      </c>
      <c r="J16" s="170" t="str">
        <f>IF('Kat. I'!$C439="","",'Kat. I'!$D439)</f>
        <v/>
      </c>
      <c r="K16" s="170" t="str">
        <f>IF('Kat. I'!$C499="","",'Kat. I'!$D499)</f>
        <v/>
      </c>
      <c r="L16" s="170" t="str">
        <f>IF('Kat. I'!$C559="","",'Kat. I'!$D559)</f>
        <v/>
      </c>
      <c r="M16" s="170" t="str">
        <f>IF('Kat. I'!$C619="","",'Kat. I'!$D619)</f>
        <v/>
      </c>
      <c r="N16" s="170" t="str">
        <f>IF('Kat. I'!$C679="","",'Kat. I'!$D679)</f>
        <v/>
      </c>
      <c r="O16" s="170" t="str">
        <f t="shared" si="0"/>
        <v/>
      </c>
      <c r="R16" s="172" t="s">
        <v>144</v>
      </c>
      <c r="S16" s="171"/>
    </row>
    <row r="17" spans="1:19" ht="9.9499999999999993" customHeight="1">
      <c r="A17" s="133">
        <f>IF('Kat. I'!A20="","",'Kat. I'!A20)</f>
        <v>113</v>
      </c>
      <c r="B17" s="134" t="str">
        <f>IF('Kat. I'!C20="","",'Kat. I'!C20)</f>
        <v/>
      </c>
      <c r="C17" s="170" t="str">
        <f>IF('Kat. I'!$C20="","",'Kat. I'!$D20)</f>
        <v/>
      </c>
      <c r="D17" s="170" t="str">
        <f>IF('Kat. I'!$C80="","",'Kat. I'!$D80)</f>
        <v/>
      </c>
      <c r="E17" s="170" t="str">
        <f>IF('Kat. I'!$C140="","",'Kat. I'!$D140)</f>
        <v/>
      </c>
      <c r="F17" s="170" t="str">
        <f>IF('Kat. I'!$C200="","",'Kat. I'!$D200)</f>
        <v/>
      </c>
      <c r="G17" s="170" t="str">
        <f>IF('Kat. I'!$C260="","",'Kat. I'!$D260)</f>
        <v/>
      </c>
      <c r="H17" s="170" t="str">
        <f>IF('Kat. I'!$C320="","",'Kat. I'!$D320)</f>
        <v/>
      </c>
      <c r="I17" s="170" t="str">
        <f>IF('Kat. I'!$C380="","",'Kat. I'!$D380)</f>
        <v/>
      </c>
      <c r="J17" s="170" t="str">
        <f>IF('Kat. I'!$C440="","",'Kat. I'!$D440)</f>
        <v/>
      </c>
      <c r="K17" s="170" t="str">
        <f>IF('Kat. I'!$C500="","",'Kat. I'!$D500)</f>
        <v/>
      </c>
      <c r="L17" s="170" t="str">
        <f>IF('Kat. I'!$C560="","",'Kat. I'!$D560)</f>
        <v/>
      </c>
      <c r="M17" s="170" t="str">
        <f>IF('Kat. I'!$C620="","",'Kat. I'!$D620)</f>
        <v/>
      </c>
      <c r="N17" s="170" t="str">
        <f>IF('Kat. I'!$C680="","",'Kat. I'!$D680)</f>
        <v/>
      </c>
      <c r="O17" s="170" t="str">
        <f t="shared" si="0"/>
        <v/>
      </c>
      <c r="R17" s="172" t="s">
        <v>145</v>
      </c>
      <c r="S17" s="171"/>
    </row>
    <row r="18" spans="1:19" ht="9.9499999999999993" customHeight="1">
      <c r="A18" s="133">
        <f>IF('Kat. I'!A21="","",'Kat. I'!A21)</f>
        <v>114</v>
      </c>
      <c r="B18" s="134" t="str">
        <f>IF('Kat. I'!C21="","",'Kat. I'!C21)</f>
        <v/>
      </c>
      <c r="C18" s="170" t="str">
        <f>IF('Kat. I'!$C21="","",'Kat. I'!$D21)</f>
        <v/>
      </c>
      <c r="D18" s="170" t="str">
        <f>IF('Kat. I'!$C81="","",'Kat. I'!$D81)</f>
        <v/>
      </c>
      <c r="E18" s="170" t="str">
        <f>IF('Kat. I'!$C141="","",'Kat. I'!$D141)</f>
        <v/>
      </c>
      <c r="F18" s="170" t="str">
        <f>IF('Kat. I'!$C201="","",'Kat. I'!$D201)</f>
        <v/>
      </c>
      <c r="G18" s="170" t="str">
        <f>IF('Kat. I'!$C261="","",'Kat. I'!$D261)</f>
        <v/>
      </c>
      <c r="H18" s="170" t="str">
        <f>IF('Kat. I'!$C321="","",'Kat. I'!$D321)</f>
        <v/>
      </c>
      <c r="I18" s="170" t="str">
        <f>IF('Kat. I'!$C381="","",'Kat. I'!$D381)</f>
        <v/>
      </c>
      <c r="J18" s="170" t="str">
        <f>IF('Kat. I'!$C441="","",'Kat. I'!$D441)</f>
        <v/>
      </c>
      <c r="K18" s="170" t="str">
        <f>IF('Kat. I'!$C501="","",'Kat. I'!$D501)</f>
        <v/>
      </c>
      <c r="L18" s="170" t="str">
        <f>IF('Kat. I'!$C561="","",'Kat. I'!$D561)</f>
        <v/>
      </c>
      <c r="M18" s="170" t="str">
        <f>IF('Kat. I'!$C621="","",'Kat. I'!$D621)</f>
        <v/>
      </c>
      <c r="N18" s="170" t="str">
        <f>IF('Kat. I'!$C681="","",'Kat. I'!$D681)</f>
        <v/>
      </c>
      <c r="O18" s="170" t="str">
        <f t="shared" si="0"/>
        <v/>
      </c>
      <c r="R18" s="172" t="s">
        <v>146</v>
      </c>
      <c r="S18" s="171"/>
    </row>
    <row r="19" spans="1:19" ht="9.9499999999999993" customHeight="1">
      <c r="A19" s="133">
        <f>IF('Kat. I'!A22="","",'Kat. I'!A22)</f>
        <v>115</v>
      </c>
      <c r="B19" s="134" t="str">
        <f>IF('Kat. I'!C22="","",'Kat. I'!C22)</f>
        <v/>
      </c>
      <c r="C19" s="170" t="str">
        <f>IF('Kat. I'!$C22="","",'Kat. I'!$D22)</f>
        <v/>
      </c>
      <c r="D19" s="170" t="str">
        <f>IF('Kat. I'!$C82="","",'Kat. I'!$D82)</f>
        <v/>
      </c>
      <c r="E19" s="170" t="str">
        <f>IF('Kat. I'!$C142="","",'Kat. I'!$D142)</f>
        <v/>
      </c>
      <c r="F19" s="170" t="str">
        <f>IF('Kat. I'!$C202="","",'Kat. I'!$D202)</f>
        <v/>
      </c>
      <c r="G19" s="170" t="str">
        <f>IF('Kat. I'!$C262="","",'Kat. I'!$D262)</f>
        <v/>
      </c>
      <c r="H19" s="170" t="str">
        <f>IF('Kat. I'!$C322="","",'Kat. I'!$D322)</f>
        <v/>
      </c>
      <c r="I19" s="170" t="str">
        <f>IF('Kat. I'!$C382="","",'Kat. I'!$D382)</f>
        <v/>
      </c>
      <c r="J19" s="170" t="str">
        <f>IF('Kat. I'!$C442="","",'Kat. I'!$D442)</f>
        <v/>
      </c>
      <c r="K19" s="170" t="str">
        <f>IF('Kat. I'!$C502="","",'Kat. I'!$D502)</f>
        <v/>
      </c>
      <c r="L19" s="170" t="str">
        <f>IF('Kat. I'!$C562="","",'Kat. I'!$D562)</f>
        <v/>
      </c>
      <c r="M19" s="170" t="str">
        <f>IF('Kat. I'!$C622="","",'Kat. I'!$D622)</f>
        <v/>
      </c>
      <c r="N19" s="170" t="str">
        <f>IF('Kat. I'!$C682="","",'Kat. I'!$D682)</f>
        <v/>
      </c>
      <c r="O19" s="170" t="str">
        <f t="shared" si="0"/>
        <v/>
      </c>
      <c r="R19" s="172" t="s">
        <v>147</v>
      </c>
      <c r="S19" s="171"/>
    </row>
    <row r="20" spans="1:19" ht="9.9499999999999993" customHeight="1">
      <c r="A20" s="133">
        <f>IF('Kat. I'!A23="","",'Kat. I'!A23)</f>
        <v>116</v>
      </c>
      <c r="B20" s="134" t="str">
        <f>IF('Kat. I'!C23="","",'Kat. I'!C23)</f>
        <v/>
      </c>
      <c r="C20" s="170" t="str">
        <f>IF('Kat. I'!$C23="","",'Kat. I'!$D23)</f>
        <v/>
      </c>
      <c r="D20" s="170" t="str">
        <f>IF('Kat. I'!$C83="","",'Kat. I'!$D83)</f>
        <v/>
      </c>
      <c r="E20" s="170" t="str">
        <f>IF('Kat. I'!$C143="","",'Kat. I'!$D143)</f>
        <v/>
      </c>
      <c r="F20" s="170" t="str">
        <f>IF('Kat. I'!$C203="","",'Kat. I'!$D203)</f>
        <v/>
      </c>
      <c r="G20" s="170" t="str">
        <f>IF('Kat. I'!$C263="","",'Kat. I'!$D263)</f>
        <v/>
      </c>
      <c r="H20" s="170" t="str">
        <f>IF('Kat. I'!$C323="","",'Kat. I'!$D323)</f>
        <v/>
      </c>
      <c r="I20" s="170" t="str">
        <f>IF('Kat. I'!$C383="","",'Kat. I'!$D383)</f>
        <v/>
      </c>
      <c r="J20" s="170" t="str">
        <f>IF('Kat. I'!$C443="","",'Kat. I'!$D443)</f>
        <v/>
      </c>
      <c r="K20" s="170" t="str">
        <f>IF('Kat. I'!$C503="","",'Kat. I'!$D503)</f>
        <v/>
      </c>
      <c r="L20" s="170" t="str">
        <f>IF('Kat. I'!$C563="","",'Kat. I'!$D563)</f>
        <v/>
      </c>
      <c r="M20" s="170" t="str">
        <f>IF('Kat. I'!$C623="","",'Kat. I'!$D623)</f>
        <v/>
      </c>
      <c r="N20" s="170" t="str">
        <f>IF('Kat. I'!$C683="","",'Kat. I'!$D683)</f>
        <v/>
      </c>
      <c r="O20" s="170" t="str">
        <f t="shared" si="0"/>
        <v/>
      </c>
      <c r="R20" s="172" t="s">
        <v>148</v>
      </c>
      <c r="S20" s="171"/>
    </row>
    <row r="21" spans="1:19" ht="9.9499999999999993" customHeight="1">
      <c r="A21" s="133">
        <f>IF('Kat. I'!A24="","",'Kat. I'!A24)</f>
        <v>117</v>
      </c>
      <c r="B21" s="134" t="str">
        <f>IF('Kat. I'!C24="","",'Kat. I'!C24)</f>
        <v/>
      </c>
      <c r="C21" s="170" t="str">
        <f>IF('Kat. I'!$C24="","",'Kat. I'!$D24)</f>
        <v/>
      </c>
      <c r="D21" s="170" t="str">
        <f>IF('Kat. I'!$C84="","",'Kat. I'!$D84)</f>
        <v/>
      </c>
      <c r="E21" s="170" t="str">
        <f>IF('Kat. I'!$C144="","",'Kat. I'!$D144)</f>
        <v/>
      </c>
      <c r="F21" s="170" t="str">
        <f>IF('Kat. I'!$C204="","",'Kat. I'!$D204)</f>
        <v/>
      </c>
      <c r="G21" s="170" t="str">
        <f>IF('Kat. I'!$C264="","",'Kat. I'!$D264)</f>
        <v/>
      </c>
      <c r="H21" s="170" t="str">
        <f>IF('Kat. I'!$C324="","",'Kat. I'!$D324)</f>
        <v/>
      </c>
      <c r="I21" s="170" t="str">
        <f>IF('Kat. I'!$C384="","",'Kat. I'!$D384)</f>
        <v/>
      </c>
      <c r="J21" s="170" t="str">
        <f>IF('Kat. I'!$C444="","",'Kat. I'!$D444)</f>
        <v/>
      </c>
      <c r="K21" s="170" t="str">
        <f>IF('Kat. I'!$C504="","",'Kat. I'!$D504)</f>
        <v/>
      </c>
      <c r="L21" s="170" t="str">
        <f>IF('Kat. I'!$C564="","",'Kat. I'!$D564)</f>
        <v/>
      </c>
      <c r="M21" s="170" t="str">
        <f>IF('Kat. I'!$C624="","",'Kat. I'!$D624)</f>
        <v/>
      </c>
      <c r="N21" s="170" t="str">
        <f>IF('Kat. I'!$C684="","",'Kat. I'!$D684)</f>
        <v/>
      </c>
      <c r="O21" s="170" t="str">
        <f t="shared" si="0"/>
        <v/>
      </c>
      <c r="R21" s="172" t="s">
        <v>149</v>
      </c>
      <c r="S21" s="171"/>
    </row>
    <row r="22" spans="1:19" ht="9.9499999999999993" customHeight="1">
      <c r="A22" s="133">
        <f>IF('Kat. I'!A25="","",'Kat. I'!A25)</f>
        <v>118</v>
      </c>
      <c r="B22" s="134" t="str">
        <f>IF('Kat. I'!C25="","",'Kat. I'!C25)</f>
        <v/>
      </c>
      <c r="C22" s="170" t="str">
        <f>IF('Kat. I'!$C25="","",'Kat. I'!$D25)</f>
        <v/>
      </c>
      <c r="D22" s="170" t="str">
        <f>IF('Kat. I'!$C85="","",'Kat. I'!$D85)</f>
        <v/>
      </c>
      <c r="E22" s="170" t="str">
        <f>IF('Kat. I'!$C145="","",'Kat. I'!$D145)</f>
        <v/>
      </c>
      <c r="F22" s="170" t="str">
        <f>IF('Kat. I'!$C205="","",'Kat. I'!$D205)</f>
        <v/>
      </c>
      <c r="G22" s="170" t="str">
        <f>IF('Kat. I'!$C265="","",'Kat. I'!$D265)</f>
        <v/>
      </c>
      <c r="H22" s="170" t="str">
        <f>IF('Kat. I'!$C325="","",'Kat. I'!$D325)</f>
        <v/>
      </c>
      <c r="I22" s="170" t="str">
        <f>IF('Kat. I'!$C385="","",'Kat. I'!$D385)</f>
        <v/>
      </c>
      <c r="J22" s="170" t="str">
        <f>IF('Kat. I'!$C445="","",'Kat. I'!$D445)</f>
        <v/>
      </c>
      <c r="K22" s="170" t="str">
        <f>IF('Kat. I'!$C505="","",'Kat. I'!$D505)</f>
        <v/>
      </c>
      <c r="L22" s="170" t="str">
        <f>IF('Kat. I'!$C565="","",'Kat. I'!$D565)</f>
        <v/>
      </c>
      <c r="M22" s="170" t="str">
        <f>IF('Kat. I'!$C625="","",'Kat. I'!$D625)</f>
        <v/>
      </c>
      <c r="N22" s="170" t="str">
        <f>IF('Kat. I'!$C685="","",'Kat. I'!$D685)</f>
        <v/>
      </c>
      <c r="O22" s="170" t="str">
        <f t="shared" si="0"/>
        <v/>
      </c>
      <c r="R22" s="172" t="s">
        <v>150</v>
      </c>
      <c r="S22" s="171"/>
    </row>
    <row r="23" spans="1:19" ht="9.9499999999999993" customHeight="1">
      <c r="A23" s="133">
        <f>IF('Kat. I'!A26="","",'Kat. I'!A26)</f>
        <v>119</v>
      </c>
      <c r="B23" s="134" t="str">
        <f>IF('Kat. I'!C26="","",'Kat. I'!C26)</f>
        <v/>
      </c>
      <c r="C23" s="170" t="str">
        <f>IF('Kat. I'!$C26="","",'Kat. I'!$D26)</f>
        <v/>
      </c>
      <c r="D23" s="170" t="str">
        <f>IF('Kat. I'!$C86="","",'Kat. I'!$D86)</f>
        <v/>
      </c>
      <c r="E23" s="170" t="str">
        <f>IF('Kat. I'!$C146="","",'Kat. I'!$D146)</f>
        <v/>
      </c>
      <c r="F23" s="170" t="str">
        <f>IF('Kat. I'!$C206="","",'Kat. I'!$D206)</f>
        <v/>
      </c>
      <c r="G23" s="170" t="str">
        <f>IF('Kat. I'!$C266="","",'Kat. I'!$D266)</f>
        <v/>
      </c>
      <c r="H23" s="170" t="str">
        <f>IF('Kat. I'!$C326="","",'Kat. I'!$D326)</f>
        <v/>
      </c>
      <c r="I23" s="170" t="str">
        <f>IF('Kat. I'!$C386="","",'Kat. I'!$D386)</f>
        <v/>
      </c>
      <c r="J23" s="170" t="str">
        <f>IF('Kat. I'!$C446="","",'Kat. I'!$D446)</f>
        <v/>
      </c>
      <c r="K23" s="170" t="str">
        <f>IF('Kat. I'!$C506="","",'Kat. I'!$D506)</f>
        <v/>
      </c>
      <c r="L23" s="170" t="str">
        <f>IF('Kat. I'!$C566="","",'Kat. I'!$D566)</f>
        <v/>
      </c>
      <c r="M23" s="170" t="str">
        <f>IF('Kat. I'!$C626="","",'Kat. I'!$D626)</f>
        <v/>
      </c>
      <c r="N23" s="170" t="str">
        <f>IF('Kat. I'!$C686="","",'Kat. I'!$D686)</f>
        <v/>
      </c>
      <c r="O23" s="170" t="str">
        <f t="shared" si="0"/>
        <v/>
      </c>
      <c r="R23" s="172" t="s">
        <v>151</v>
      </c>
      <c r="S23" s="171"/>
    </row>
    <row r="24" spans="1:19" ht="9.9499999999999993" customHeight="1">
      <c r="A24" s="133">
        <f>IF('Kat. I'!A27="","",'Kat. I'!A27)</f>
        <v>120</v>
      </c>
      <c r="B24" s="134" t="str">
        <f>IF('Kat. I'!C27="","",'Kat. I'!C27)</f>
        <v/>
      </c>
      <c r="C24" s="170" t="str">
        <f>IF('Kat. I'!$C27="","",'Kat. I'!$D27)</f>
        <v/>
      </c>
      <c r="D24" s="170" t="str">
        <f>IF('Kat. I'!$C87="","",'Kat. I'!$D87)</f>
        <v/>
      </c>
      <c r="E24" s="170" t="str">
        <f>IF('Kat. I'!$C147="","",'Kat. I'!$D147)</f>
        <v/>
      </c>
      <c r="F24" s="170" t="str">
        <f>IF('Kat. I'!$C207="","",'Kat. I'!$D207)</f>
        <v/>
      </c>
      <c r="G24" s="170" t="str">
        <f>IF('Kat. I'!$C267="","",'Kat. I'!$D267)</f>
        <v/>
      </c>
      <c r="H24" s="170" t="str">
        <f>IF('Kat. I'!$C327="","",'Kat. I'!$D327)</f>
        <v/>
      </c>
      <c r="I24" s="170" t="str">
        <f>IF('Kat. I'!$C387="","",'Kat. I'!$D387)</f>
        <v/>
      </c>
      <c r="J24" s="170" t="str">
        <f>IF('Kat. I'!$C447="","",'Kat. I'!$D447)</f>
        <v/>
      </c>
      <c r="K24" s="170" t="str">
        <f>IF('Kat. I'!$C507="","",'Kat. I'!$D507)</f>
        <v/>
      </c>
      <c r="L24" s="170" t="str">
        <f>IF('Kat. I'!$C567="","",'Kat. I'!$D567)</f>
        <v/>
      </c>
      <c r="M24" s="170" t="str">
        <f>IF('Kat. I'!$C627="","",'Kat. I'!$D627)</f>
        <v/>
      </c>
      <c r="N24" s="170" t="str">
        <f>IF('Kat. I'!$C687="","",'Kat. I'!$D687)</f>
        <v/>
      </c>
      <c r="O24" s="170" t="str">
        <f t="shared" si="0"/>
        <v/>
      </c>
      <c r="R24" s="172" t="s">
        <v>152</v>
      </c>
      <c r="S24" s="171"/>
    </row>
    <row r="25" spans="1:19" ht="9.9499999999999993" customHeight="1">
      <c r="A25" s="133">
        <f>IF('Kat. I'!A28="","",'Kat. I'!A28)</f>
        <v>121</v>
      </c>
      <c r="B25" s="134" t="str">
        <f>IF('Kat. I'!C28="","",'Kat. I'!C28)</f>
        <v/>
      </c>
      <c r="C25" s="170" t="str">
        <f>IF('Kat. I'!$C28="","",'Kat. I'!$D28)</f>
        <v/>
      </c>
      <c r="D25" s="170" t="str">
        <f>IF('Kat. I'!$C88="","",'Kat. I'!$D88)</f>
        <v/>
      </c>
      <c r="E25" s="170" t="str">
        <f>IF('Kat. I'!$C148="","",'Kat. I'!$D148)</f>
        <v/>
      </c>
      <c r="F25" s="170" t="str">
        <f>IF('Kat. I'!$C208="","",'Kat. I'!$D208)</f>
        <v/>
      </c>
      <c r="G25" s="170" t="str">
        <f>IF('Kat. I'!$C268="","",'Kat. I'!$D268)</f>
        <v/>
      </c>
      <c r="H25" s="170" t="str">
        <f>IF('Kat. I'!$C328="","",'Kat. I'!$D328)</f>
        <v/>
      </c>
      <c r="I25" s="170" t="str">
        <f>IF('Kat. I'!$C388="","",'Kat. I'!$D388)</f>
        <v/>
      </c>
      <c r="J25" s="170" t="str">
        <f>IF('Kat. I'!$C448="","",'Kat. I'!$D448)</f>
        <v/>
      </c>
      <c r="K25" s="170" t="str">
        <f>IF('Kat. I'!$C508="","",'Kat. I'!$D508)</f>
        <v/>
      </c>
      <c r="L25" s="170" t="str">
        <f>IF('Kat. I'!$C568="","",'Kat. I'!$D568)</f>
        <v/>
      </c>
      <c r="M25" s="170" t="str">
        <f>IF('Kat. I'!$C628="","",'Kat. I'!$D628)</f>
        <v/>
      </c>
      <c r="N25" s="170" t="str">
        <f>IF('Kat. I'!$C688="","",'Kat. I'!$D688)</f>
        <v/>
      </c>
      <c r="O25" s="170" t="str">
        <f t="shared" si="0"/>
        <v/>
      </c>
      <c r="R25" s="172" t="s">
        <v>153</v>
      </c>
      <c r="S25" s="171"/>
    </row>
    <row r="26" spans="1:19" ht="9.9499999999999993" customHeight="1">
      <c r="A26" s="133">
        <f>IF('Kat. I'!A29="","",'Kat. I'!A29)</f>
        <v>122</v>
      </c>
      <c r="B26" s="134" t="str">
        <f>IF('Kat. I'!C29="","",'Kat. I'!C29)</f>
        <v/>
      </c>
      <c r="C26" s="170" t="str">
        <f>IF('Kat. I'!$C29="","",'Kat. I'!$D29)</f>
        <v/>
      </c>
      <c r="D26" s="170" t="str">
        <f>IF('Kat. I'!$C89="","",'Kat. I'!$D89)</f>
        <v/>
      </c>
      <c r="E26" s="170" t="str">
        <f>IF('Kat. I'!$C149="","",'Kat. I'!$D149)</f>
        <v/>
      </c>
      <c r="F26" s="170" t="str">
        <f>IF('Kat. I'!$C209="","",'Kat. I'!$D209)</f>
        <v/>
      </c>
      <c r="G26" s="170" t="str">
        <f>IF('Kat. I'!$C269="","",'Kat. I'!$D269)</f>
        <v/>
      </c>
      <c r="H26" s="170" t="str">
        <f>IF('Kat. I'!$C329="","",'Kat. I'!$D329)</f>
        <v/>
      </c>
      <c r="I26" s="170" t="str">
        <f>IF('Kat. I'!$C389="","",'Kat. I'!$D389)</f>
        <v/>
      </c>
      <c r="J26" s="170" t="str">
        <f>IF('Kat. I'!$C449="","",'Kat. I'!$D449)</f>
        <v/>
      </c>
      <c r="K26" s="170" t="str">
        <f>IF('Kat. I'!$C509="","",'Kat. I'!$D509)</f>
        <v/>
      </c>
      <c r="L26" s="170" t="str">
        <f>IF('Kat. I'!$C569="","",'Kat. I'!$D569)</f>
        <v/>
      </c>
      <c r="M26" s="170" t="str">
        <f>IF('Kat. I'!$C629="","",'Kat. I'!$D629)</f>
        <v/>
      </c>
      <c r="N26" s="170" t="str">
        <f>IF('Kat. I'!$C689="","",'Kat. I'!$D689)</f>
        <v/>
      </c>
      <c r="O26" s="170" t="str">
        <f t="shared" si="0"/>
        <v/>
      </c>
      <c r="R26" s="172" t="s">
        <v>154</v>
      </c>
      <c r="S26" s="171"/>
    </row>
    <row r="27" spans="1:19" ht="9.9499999999999993" customHeight="1">
      <c r="A27" s="133">
        <f>IF('Kat. I'!A30="","",'Kat. I'!A30)</f>
        <v>123</v>
      </c>
      <c r="B27" s="134" t="str">
        <f>IF('Kat. I'!C30="","",'Kat. I'!C30)</f>
        <v/>
      </c>
      <c r="C27" s="170" t="str">
        <f>IF('Kat. I'!$C30="","",'Kat. I'!$D30)</f>
        <v/>
      </c>
      <c r="D27" s="170" t="str">
        <f>IF('Kat. I'!$C90="","",'Kat. I'!$D90)</f>
        <v/>
      </c>
      <c r="E27" s="170" t="str">
        <f>IF('Kat. I'!$C150="","",'Kat. I'!$D150)</f>
        <v/>
      </c>
      <c r="F27" s="170" t="str">
        <f>IF('Kat. I'!$C210="","",'Kat. I'!$D210)</f>
        <v/>
      </c>
      <c r="G27" s="170" t="str">
        <f>IF('Kat. I'!$C270="","",'Kat. I'!$D270)</f>
        <v/>
      </c>
      <c r="H27" s="170" t="str">
        <f>IF('Kat. I'!$C330="","",'Kat. I'!$D330)</f>
        <v/>
      </c>
      <c r="I27" s="170" t="str">
        <f>IF('Kat. I'!$C390="","",'Kat. I'!$D390)</f>
        <v/>
      </c>
      <c r="J27" s="170" t="str">
        <f>IF('Kat. I'!$C450="","",'Kat. I'!$D450)</f>
        <v/>
      </c>
      <c r="K27" s="170" t="str">
        <f>IF('Kat. I'!$C510="","",'Kat. I'!$D510)</f>
        <v/>
      </c>
      <c r="L27" s="170" t="str">
        <f>IF('Kat. I'!$C570="","",'Kat. I'!$D570)</f>
        <v/>
      </c>
      <c r="M27" s="170" t="str">
        <f>IF('Kat. I'!$C630="","",'Kat. I'!$D630)</f>
        <v/>
      </c>
      <c r="N27" s="170" t="str">
        <f>IF('Kat. I'!$C690="","",'Kat. I'!$D690)</f>
        <v/>
      </c>
      <c r="O27" s="170" t="str">
        <f t="shared" si="0"/>
        <v/>
      </c>
      <c r="R27" s="172" t="s">
        <v>155</v>
      </c>
      <c r="S27" s="171"/>
    </row>
    <row r="28" spans="1:19" ht="9.9499999999999993" customHeight="1">
      <c r="A28" s="133">
        <f>IF('Kat. I'!A31="","",'Kat. I'!A31)</f>
        <v>124</v>
      </c>
      <c r="B28" s="134" t="str">
        <f>IF('Kat. I'!C31="","",'Kat. I'!C31)</f>
        <v/>
      </c>
      <c r="C28" s="170" t="str">
        <f>IF('Kat. I'!$C31="","",'Kat. I'!$D31)</f>
        <v/>
      </c>
      <c r="D28" s="170" t="str">
        <f>IF('Kat. I'!$C91="","",'Kat. I'!$D91)</f>
        <v/>
      </c>
      <c r="E28" s="170" t="str">
        <f>IF('Kat. I'!$C151="","",'Kat. I'!$D151)</f>
        <v/>
      </c>
      <c r="F28" s="170" t="str">
        <f>IF('Kat. I'!$C211="","",'Kat. I'!$D211)</f>
        <v/>
      </c>
      <c r="G28" s="170" t="str">
        <f>IF('Kat. I'!$C271="","",'Kat. I'!$D271)</f>
        <v/>
      </c>
      <c r="H28" s="170" t="str">
        <f>IF('Kat. I'!$C331="","",'Kat. I'!$D331)</f>
        <v/>
      </c>
      <c r="I28" s="170" t="str">
        <f>IF('Kat. I'!$C391="","",'Kat. I'!$D391)</f>
        <v/>
      </c>
      <c r="J28" s="170" t="str">
        <f>IF('Kat. I'!$C451="","",'Kat. I'!$D451)</f>
        <v/>
      </c>
      <c r="K28" s="170" t="str">
        <f>IF('Kat. I'!$C511="","",'Kat. I'!$D511)</f>
        <v/>
      </c>
      <c r="L28" s="170" t="str">
        <f>IF('Kat. I'!$C571="","",'Kat. I'!$D571)</f>
        <v/>
      </c>
      <c r="M28" s="170" t="str">
        <f>IF('Kat. I'!$C631="","",'Kat. I'!$D631)</f>
        <v/>
      </c>
      <c r="N28" s="170" t="str">
        <f>IF('Kat. I'!$C691="","",'Kat. I'!$D691)</f>
        <v/>
      </c>
      <c r="O28" s="170" t="str">
        <f t="shared" si="0"/>
        <v/>
      </c>
      <c r="R28" s="172" t="s">
        <v>156</v>
      </c>
      <c r="S28" s="171"/>
    </row>
    <row r="29" spans="1:19" ht="9.9499999999999993" customHeight="1">
      <c r="A29" s="133">
        <f>IF('Kat. I'!A32="","",'Kat. I'!A32)</f>
        <v>125</v>
      </c>
      <c r="B29" s="134" t="str">
        <f>IF('Kat. I'!C32="","",'Kat. I'!C32)</f>
        <v>Lohn Nebenerwerb</v>
      </c>
      <c r="C29" s="170">
        <f ca="1">IF('Kat. I'!$C32="","",'Kat. I'!$D32)</f>
        <v>1780</v>
      </c>
      <c r="D29" s="170">
        <f ca="1">IF('Kat. I'!$C92="","",'Kat. I'!$D92)</f>
        <v>0</v>
      </c>
      <c r="E29" s="170">
        <f ca="1">IF('Kat. I'!$C152="","",'Kat. I'!$D152)</f>
        <v>0</v>
      </c>
      <c r="F29" s="170">
        <f ca="1">IF('Kat. I'!$C212="","",'Kat. I'!$D212)</f>
        <v>0</v>
      </c>
      <c r="G29" s="170">
        <f ca="1">IF('Kat. I'!$C272="","",'Kat. I'!$D272)</f>
        <v>0</v>
      </c>
      <c r="H29" s="170">
        <f ca="1">IF('Kat. I'!$C332="","",'Kat. I'!$D332)</f>
        <v>0</v>
      </c>
      <c r="I29" s="170">
        <f ca="1">IF('Kat. I'!$C392="","",'Kat. I'!$D392)</f>
        <v>0</v>
      </c>
      <c r="J29" s="170">
        <f ca="1">IF('Kat. I'!$C452="","",'Kat. I'!$D452)</f>
        <v>0</v>
      </c>
      <c r="K29" s="170">
        <f ca="1">IF('Kat. I'!$C512="","",'Kat. I'!$D512)</f>
        <v>0</v>
      </c>
      <c r="L29" s="170">
        <f ca="1">IF('Kat. I'!$C572="","",'Kat. I'!$D572)</f>
        <v>0</v>
      </c>
      <c r="M29" s="170">
        <f ca="1">IF('Kat. I'!$C632="","",'Kat. I'!$D632)</f>
        <v>0</v>
      </c>
      <c r="N29" s="170">
        <f ca="1">IF('Kat. I'!$C692="","",'Kat. I'!$D692)</f>
        <v>0</v>
      </c>
      <c r="O29" s="170">
        <f t="shared" ca="1" si="0"/>
        <v>1780</v>
      </c>
      <c r="R29" s="172" t="s">
        <v>157</v>
      </c>
      <c r="S29" s="171"/>
    </row>
    <row r="30" spans="1:19" ht="9.9499999999999993" customHeight="1">
      <c r="A30" s="133">
        <f>IF('Kat. I'!A33="","",'Kat. I'!A33)</f>
        <v>126</v>
      </c>
      <c r="B30" s="134" t="str">
        <f>IF('Kat. I'!C33="","",'Kat. I'!C33)</f>
        <v/>
      </c>
      <c r="C30" s="170" t="str">
        <f>IF('Kat. I'!$C33="","",'Kat. I'!$D33)</f>
        <v/>
      </c>
      <c r="D30" s="170" t="str">
        <f>IF('Kat. I'!$C93="","",'Kat. I'!$D93)</f>
        <v/>
      </c>
      <c r="E30" s="170" t="str">
        <f>IF('Kat. I'!$C153="","",'Kat. I'!$D153)</f>
        <v/>
      </c>
      <c r="F30" s="170" t="str">
        <f>IF('Kat. I'!$C213="","",'Kat. I'!$D213)</f>
        <v/>
      </c>
      <c r="G30" s="170" t="str">
        <f>IF('Kat. I'!$C273="","",'Kat. I'!$D273)</f>
        <v/>
      </c>
      <c r="H30" s="170" t="str">
        <f>IF('Kat. I'!$C333="","",'Kat. I'!$D333)</f>
        <v/>
      </c>
      <c r="I30" s="170" t="str">
        <f>IF('Kat. I'!$C393="","",'Kat. I'!$D393)</f>
        <v/>
      </c>
      <c r="J30" s="170" t="str">
        <f>IF('Kat. I'!$C453="","",'Kat. I'!$D453)</f>
        <v/>
      </c>
      <c r="K30" s="170" t="str">
        <f>IF('Kat. I'!$C513="","",'Kat. I'!$D513)</f>
        <v/>
      </c>
      <c r="L30" s="170" t="str">
        <f>IF('Kat. I'!$C573="","",'Kat. I'!$D573)</f>
        <v/>
      </c>
      <c r="M30" s="170" t="str">
        <f>IF('Kat. I'!$C633="","",'Kat. I'!$D633)</f>
        <v/>
      </c>
      <c r="N30" s="170" t="str">
        <f>IF('Kat. I'!$C693="","",'Kat. I'!$D693)</f>
        <v/>
      </c>
      <c r="O30" s="170" t="str">
        <f t="shared" si="0"/>
        <v/>
      </c>
      <c r="R30" s="172" t="s">
        <v>158</v>
      </c>
      <c r="S30" s="171"/>
    </row>
    <row r="31" spans="1:19" ht="9.9499999999999993" customHeight="1">
      <c r="A31" s="133">
        <f>IF('Kat. I'!A34="","",'Kat. I'!A34)</f>
        <v>127</v>
      </c>
      <c r="B31" s="134" t="str">
        <f>IF('Kat. I'!C34="","",'Kat. I'!C34)</f>
        <v/>
      </c>
      <c r="C31" s="170" t="str">
        <f>IF('Kat. I'!$C34="","",'Kat. I'!$D34)</f>
        <v/>
      </c>
      <c r="D31" s="170" t="str">
        <f>IF('Kat. I'!$C94="","",'Kat. I'!$D94)</f>
        <v/>
      </c>
      <c r="E31" s="170" t="str">
        <f>IF('Kat. I'!$C154="","",'Kat. I'!$D154)</f>
        <v/>
      </c>
      <c r="F31" s="170" t="str">
        <f>IF('Kat. I'!$C214="","",'Kat. I'!$D214)</f>
        <v/>
      </c>
      <c r="G31" s="170" t="str">
        <f>IF('Kat. I'!$C274="","",'Kat. I'!$D274)</f>
        <v/>
      </c>
      <c r="H31" s="170" t="str">
        <f>IF('Kat. I'!$C334="","",'Kat. I'!$D334)</f>
        <v/>
      </c>
      <c r="I31" s="170" t="str">
        <f>IF('Kat. I'!$C394="","",'Kat. I'!$D394)</f>
        <v/>
      </c>
      <c r="J31" s="170" t="str">
        <f>IF('Kat. I'!$C454="","",'Kat. I'!$D454)</f>
        <v/>
      </c>
      <c r="K31" s="170" t="str">
        <f>IF('Kat. I'!$C514="","",'Kat. I'!$D514)</f>
        <v/>
      </c>
      <c r="L31" s="170" t="str">
        <f>IF('Kat. I'!$C574="","",'Kat. I'!$D574)</f>
        <v/>
      </c>
      <c r="M31" s="170" t="str">
        <f>IF('Kat. I'!$C634="","",'Kat. I'!$D634)</f>
        <v/>
      </c>
      <c r="N31" s="170" t="str">
        <f>IF('Kat. I'!$C694="","",'Kat. I'!$D694)</f>
        <v/>
      </c>
      <c r="O31" s="170" t="str">
        <f t="shared" si="0"/>
        <v/>
      </c>
      <c r="R31" s="172" t="s">
        <v>159</v>
      </c>
      <c r="S31" s="171"/>
    </row>
    <row r="32" spans="1:19" ht="9.9499999999999993" customHeight="1">
      <c r="A32" s="133">
        <f>IF('Kat. I'!A35="","",'Kat. I'!A35)</f>
        <v>128</v>
      </c>
      <c r="B32" s="134" t="str">
        <f>IF('Kat. I'!C35="","",'Kat. I'!C35)</f>
        <v/>
      </c>
      <c r="C32" s="170" t="str">
        <f>IF('Kat. I'!$C35="","",'Kat. I'!$D35)</f>
        <v/>
      </c>
      <c r="D32" s="170" t="str">
        <f>IF('Kat. I'!$C95="","",'Kat. I'!$D95)</f>
        <v/>
      </c>
      <c r="E32" s="170" t="str">
        <f>IF('Kat. I'!$C155="","",'Kat. I'!$D155)</f>
        <v/>
      </c>
      <c r="F32" s="170" t="str">
        <f>IF('Kat. I'!$C215="","",'Kat. I'!$D215)</f>
        <v/>
      </c>
      <c r="G32" s="170" t="str">
        <f>IF('Kat. I'!$C275="","",'Kat. I'!$D275)</f>
        <v/>
      </c>
      <c r="H32" s="170" t="str">
        <f>IF('Kat. I'!$C335="","",'Kat. I'!$D335)</f>
        <v/>
      </c>
      <c r="I32" s="170" t="str">
        <f>IF('Kat. I'!$C395="","",'Kat. I'!$D395)</f>
        <v/>
      </c>
      <c r="J32" s="170" t="str">
        <f>IF('Kat. I'!$C455="","",'Kat. I'!$D455)</f>
        <v/>
      </c>
      <c r="K32" s="170" t="str">
        <f>IF('Kat. I'!$C515="","",'Kat. I'!$D515)</f>
        <v/>
      </c>
      <c r="L32" s="170" t="str">
        <f>IF('Kat. I'!$C575="","",'Kat. I'!$D575)</f>
        <v/>
      </c>
      <c r="M32" s="170" t="str">
        <f>IF('Kat. I'!$C635="","",'Kat. I'!$D635)</f>
        <v/>
      </c>
      <c r="N32" s="170" t="str">
        <f>IF('Kat. I'!$C695="","",'Kat. I'!$D695)</f>
        <v/>
      </c>
      <c r="O32" s="170" t="str">
        <f t="shared" si="0"/>
        <v/>
      </c>
      <c r="R32" s="172"/>
      <c r="S32" s="172"/>
    </row>
    <row r="33" spans="1:19" ht="9.9499999999999993" customHeight="1">
      <c r="A33" s="133">
        <f>IF('Kat. I'!A36="","",'Kat. I'!A36)</f>
        <v>129</v>
      </c>
      <c r="B33" s="134" t="str">
        <f>IF('Kat. I'!C36="","",'Kat. I'!C36)</f>
        <v/>
      </c>
      <c r="C33" s="170" t="str">
        <f>IF('Kat. I'!$C36="","",'Kat. I'!$D36)</f>
        <v/>
      </c>
      <c r="D33" s="170" t="str">
        <f>IF('Kat. I'!$C96="","",'Kat. I'!$D96)</f>
        <v/>
      </c>
      <c r="E33" s="170" t="str">
        <f>IF('Kat. I'!$C156="","",'Kat. I'!$D156)</f>
        <v/>
      </c>
      <c r="F33" s="170" t="str">
        <f>IF('Kat. I'!$C216="","",'Kat. I'!$D216)</f>
        <v/>
      </c>
      <c r="G33" s="170" t="str">
        <f>IF('Kat. I'!$C276="","",'Kat. I'!$D276)</f>
        <v/>
      </c>
      <c r="H33" s="170" t="str">
        <f>IF('Kat. I'!$C336="","",'Kat. I'!$D336)</f>
        <v/>
      </c>
      <c r="I33" s="170" t="str">
        <f>IF('Kat. I'!$C396="","",'Kat. I'!$D396)</f>
        <v/>
      </c>
      <c r="J33" s="170" t="str">
        <f>IF('Kat. I'!$C456="","",'Kat. I'!$D456)</f>
        <v/>
      </c>
      <c r="K33" s="170" t="str">
        <f>IF('Kat. I'!$C516="","",'Kat. I'!$D516)</f>
        <v/>
      </c>
      <c r="L33" s="170" t="str">
        <f>IF('Kat. I'!$C576="","",'Kat. I'!$D576)</f>
        <v/>
      </c>
      <c r="M33" s="170" t="str">
        <f>IF('Kat. I'!$C636="","",'Kat. I'!$D636)</f>
        <v/>
      </c>
      <c r="N33" s="170" t="str">
        <f>IF('Kat. I'!$C696="","",'Kat. I'!$D696)</f>
        <v/>
      </c>
      <c r="O33" s="170" t="str">
        <f t="shared" si="0"/>
        <v/>
      </c>
      <c r="R33" s="172"/>
      <c r="S33" s="172"/>
    </row>
    <row r="34" spans="1:19" ht="9.9499999999999993" customHeight="1">
      <c r="A34" s="133">
        <f>IF('Kat. I'!A37="","",'Kat. I'!A37)</f>
        <v>130</v>
      </c>
      <c r="B34" s="134" t="str">
        <f>IF('Kat. I'!C37="","",'Kat. I'!C37)</f>
        <v/>
      </c>
      <c r="C34" s="170" t="str">
        <f>IF('Kat. I'!$C37="","",'Kat. I'!$D37)</f>
        <v/>
      </c>
      <c r="D34" s="170" t="str">
        <f>IF('Kat. I'!$C97="","",'Kat. I'!$D97)</f>
        <v/>
      </c>
      <c r="E34" s="170" t="str">
        <f>IF('Kat. I'!$C157="","",'Kat. I'!$D157)</f>
        <v/>
      </c>
      <c r="F34" s="170" t="str">
        <f>IF('Kat. I'!$C217="","",'Kat. I'!$D217)</f>
        <v/>
      </c>
      <c r="G34" s="170" t="str">
        <f>IF('Kat. I'!$C277="","",'Kat. I'!$D277)</f>
        <v/>
      </c>
      <c r="H34" s="170" t="str">
        <f>IF('Kat. I'!$C337="","",'Kat. I'!$D337)</f>
        <v/>
      </c>
      <c r="I34" s="170" t="str">
        <f>IF('Kat. I'!$C397="","",'Kat. I'!$D397)</f>
        <v/>
      </c>
      <c r="J34" s="170" t="str">
        <f>IF('Kat. I'!$C457="","",'Kat. I'!$D457)</f>
        <v/>
      </c>
      <c r="K34" s="170" t="str">
        <f>IF('Kat. I'!$C517="","",'Kat. I'!$D517)</f>
        <v/>
      </c>
      <c r="L34" s="170" t="str">
        <f>IF('Kat. I'!$C577="","",'Kat. I'!$D577)</f>
        <v/>
      </c>
      <c r="M34" s="170" t="str">
        <f>IF('Kat. I'!$C637="","",'Kat. I'!$D637)</f>
        <v/>
      </c>
      <c r="N34" s="170" t="str">
        <f>IF('Kat. I'!$C697="","",'Kat. I'!$D697)</f>
        <v/>
      </c>
      <c r="O34" s="170" t="str">
        <f t="shared" si="0"/>
        <v/>
      </c>
      <c r="R34" s="172"/>
      <c r="S34" s="172"/>
    </row>
    <row r="35" spans="1:19" ht="9.9499999999999993" customHeight="1">
      <c r="A35" s="133">
        <f>IF('Kat. I'!A38="","",'Kat. I'!A38)</f>
        <v>131</v>
      </c>
      <c r="B35" s="134" t="str">
        <f>IF('Kat. I'!C38="","",'Kat. I'!C38)</f>
        <v/>
      </c>
      <c r="C35" s="170" t="str">
        <f>IF('Kat. I'!$C38="","",'Kat. I'!$D38)</f>
        <v/>
      </c>
      <c r="D35" s="170" t="str">
        <f>IF('Kat. I'!$C98="","",'Kat. I'!$D98)</f>
        <v/>
      </c>
      <c r="E35" s="170" t="str">
        <f>IF('Kat. I'!$C158="","",'Kat. I'!$D158)</f>
        <v/>
      </c>
      <c r="F35" s="170" t="str">
        <f>IF('Kat. I'!$C218="","",'Kat. I'!$D218)</f>
        <v/>
      </c>
      <c r="G35" s="170" t="str">
        <f>IF('Kat. I'!$C278="","",'Kat. I'!$D278)</f>
        <v/>
      </c>
      <c r="H35" s="170" t="str">
        <f>IF('Kat. I'!$C338="","",'Kat. I'!$D338)</f>
        <v/>
      </c>
      <c r="I35" s="170" t="str">
        <f>IF('Kat. I'!$C398="","",'Kat. I'!$D398)</f>
        <v/>
      </c>
      <c r="J35" s="170" t="str">
        <f>IF('Kat. I'!$C458="","",'Kat. I'!$D458)</f>
        <v/>
      </c>
      <c r="K35" s="170" t="str">
        <f>IF('Kat. I'!$C518="","",'Kat. I'!$D518)</f>
        <v/>
      </c>
      <c r="L35" s="170" t="str">
        <f>IF('Kat. I'!$C578="","",'Kat. I'!$D578)</f>
        <v/>
      </c>
      <c r="M35" s="170" t="str">
        <f>IF('Kat. I'!$C638="","",'Kat. I'!$D638)</f>
        <v/>
      </c>
      <c r="N35" s="170" t="str">
        <f>IF('Kat. I'!$C698="","",'Kat. I'!$D698)</f>
        <v/>
      </c>
      <c r="O35" s="170" t="str">
        <f t="shared" si="0"/>
        <v/>
      </c>
      <c r="R35" s="172">
        <v>0</v>
      </c>
      <c r="S35" s="171"/>
    </row>
    <row r="36" spans="1:19" ht="9.9499999999999993" customHeight="1">
      <c r="A36" s="133">
        <f>IF('Kat. I'!A39="","",'Kat. I'!A39)</f>
        <v>132</v>
      </c>
      <c r="B36" s="134" t="str">
        <f>IF('Kat. I'!C39="","",'Kat. I'!C39)</f>
        <v>Feuerwehrsold</v>
      </c>
      <c r="C36" s="170">
        <f ca="1">IF('Kat. I'!$C39="","",'Kat. I'!$D39)</f>
        <v>0</v>
      </c>
      <c r="D36" s="170">
        <f ca="1">IF('Kat. I'!$C99="","",'Kat. I'!$D99)</f>
        <v>0</v>
      </c>
      <c r="E36" s="170">
        <f ca="1">IF('Kat. I'!$C159="","",'Kat. I'!$D159)</f>
        <v>0</v>
      </c>
      <c r="F36" s="170">
        <f ca="1">IF('Kat. I'!$C219="","",'Kat. I'!$D219)</f>
        <v>0</v>
      </c>
      <c r="G36" s="170">
        <f ca="1">IF('Kat. I'!$C279="","",'Kat. I'!$D279)</f>
        <v>0</v>
      </c>
      <c r="H36" s="170">
        <f ca="1">IF('Kat. I'!$C339="","",'Kat. I'!$D339)</f>
        <v>0</v>
      </c>
      <c r="I36" s="170">
        <f ca="1">IF('Kat. I'!$C399="","",'Kat. I'!$D399)</f>
        <v>0</v>
      </c>
      <c r="J36" s="170">
        <f ca="1">IF('Kat. I'!$C459="","",'Kat. I'!$D459)</f>
        <v>0</v>
      </c>
      <c r="K36" s="170">
        <f ca="1">IF('Kat. I'!$C519="","",'Kat. I'!$D519)</f>
        <v>0</v>
      </c>
      <c r="L36" s="170">
        <f ca="1">IF('Kat. I'!$C579="","",'Kat. I'!$D579)</f>
        <v>0</v>
      </c>
      <c r="M36" s="170">
        <f ca="1">IF('Kat. I'!$C639="","",'Kat. I'!$D639)</f>
        <v>0</v>
      </c>
      <c r="N36" s="170">
        <f ca="1">IF('Kat. I'!$C699="","",'Kat. I'!$D699)</f>
        <v>0</v>
      </c>
      <c r="O36" s="170">
        <f t="shared" ca="1" si="0"/>
        <v>0</v>
      </c>
      <c r="R36" s="172">
        <v>1</v>
      </c>
      <c r="S36" s="171"/>
    </row>
    <row r="37" spans="1:19" ht="9.9499999999999993" customHeight="1">
      <c r="A37" s="133">
        <f>IF('Kat. I'!A40="","",'Kat. I'!A40)</f>
        <v>133</v>
      </c>
      <c r="B37" s="134" t="str">
        <f>IF('Kat. I'!C40="","",'Kat. I'!C40)</f>
        <v/>
      </c>
      <c r="C37" s="170" t="str">
        <f>IF('Kat. I'!$C40="","",'Kat. I'!$D40)</f>
        <v/>
      </c>
      <c r="D37" s="170" t="str">
        <f>IF('Kat. I'!$C100="","",'Kat. I'!$D100)</f>
        <v/>
      </c>
      <c r="E37" s="170" t="str">
        <f>IF('Kat. I'!$C160="","",'Kat. I'!$D160)</f>
        <v/>
      </c>
      <c r="F37" s="170" t="str">
        <f>IF('Kat. I'!$C220="","",'Kat. I'!$D220)</f>
        <v/>
      </c>
      <c r="G37" s="170" t="str">
        <f>IF('Kat. I'!$C280="","",'Kat. I'!$D280)</f>
        <v/>
      </c>
      <c r="H37" s="170" t="str">
        <f>IF('Kat. I'!$C340="","",'Kat. I'!$D340)</f>
        <v/>
      </c>
      <c r="I37" s="170" t="str">
        <f>IF('Kat. I'!$C400="","",'Kat. I'!$D400)</f>
        <v/>
      </c>
      <c r="J37" s="170" t="str">
        <f>IF('Kat. I'!$C460="","",'Kat. I'!$D460)</f>
        <v/>
      </c>
      <c r="K37" s="170" t="str">
        <f>IF('Kat. I'!$C520="","",'Kat. I'!$D520)</f>
        <v/>
      </c>
      <c r="L37" s="170" t="str">
        <f>IF('Kat. I'!$C580="","",'Kat. I'!$D580)</f>
        <v/>
      </c>
      <c r="M37" s="170" t="str">
        <f>IF('Kat. I'!$C640="","",'Kat. I'!$D640)</f>
        <v/>
      </c>
      <c r="N37" s="170" t="str">
        <f>IF('Kat. I'!$C700="","",'Kat. I'!$D700)</f>
        <v/>
      </c>
      <c r="O37" s="170" t="str">
        <f t="shared" si="0"/>
        <v/>
      </c>
      <c r="R37" s="172">
        <v>2</v>
      </c>
      <c r="S37" s="171"/>
    </row>
    <row r="38" spans="1:19" ht="9.9499999999999993" customHeight="1">
      <c r="A38" s="133">
        <f>IF('Kat. I'!A41="","",'Kat. I'!A41)</f>
        <v>134</v>
      </c>
      <c r="B38" s="134" t="str">
        <f>IF('Kat. I'!C41="","",'Kat. I'!C41)</f>
        <v/>
      </c>
      <c r="C38" s="170" t="str">
        <f>IF('Kat. I'!$C41="","",'Kat. I'!$D41)</f>
        <v/>
      </c>
      <c r="D38" s="170" t="str">
        <f>IF('Kat. I'!$C101="","",'Kat. I'!$D101)</f>
        <v/>
      </c>
      <c r="E38" s="170" t="str">
        <f>IF('Kat. I'!$C161="","",'Kat. I'!$D161)</f>
        <v/>
      </c>
      <c r="F38" s="170" t="str">
        <f>IF('Kat. I'!$C221="","",'Kat. I'!$D221)</f>
        <v/>
      </c>
      <c r="G38" s="170" t="str">
        <f>IF('Kat. I'!$C281="","",'Kat. I'!$D281)</f>
        <v/>
      </c>
      <c r="H38" s="170" t="str">
        <f>IF('Kat. I'!$C341="","",'Kat. I'!$D341)</f>
        <v/>
      </c>
      <c r="I38" s="170" t="str">
        <f>IF('Kat. I'!$C401="","",'Kat. I'!$D401)</f>
        <v/>
      </c>
      <c r="J38" s="170" t="str">
        <f>IF('Kat. I'!$C461="","",'Kat. I'!$D461)</f>
        <v/>
      </c>
      <c r="K38" s="170" t="str">
        <f>IF('Kat. I'!$C521="","",'Kat. I'!$D521)</f>
        <v/>
      </c>
      <c r="L38" s="170" t="str">
        <f>IF('Kat. I'!$C581="","",'Kat. I'!$D581)</f>
        <v/>
      </c>
      <c r="M38" s="170" t="str">
        <f>IF('Kat. I'!$C641="","",'Kat. I'!$D641)</f>
        <v/>
      </c>
      <c r="N38" s="170" t="str">
        <f>IF('Kat. I'!$C701="","",'Kat. I'!$D701)</f>
        <v/>
      </c>
      <c r="O38" s="170" t="str">
        <f t="shared" si="0"/>
        <v/>
      </c>
      <c r="R38" s="172">
        <v>3</v>
      </c>
      <c r="S38" s="171"/>
    </row>
    <row r="39" spans="1:19" ht="9.9499999999999993" customHeight="1">
      <c r="A39" s="133">
        <f>IF('Kat. I'!A42="","",'Kat. I'!A42)</f>
        <v>135</v>
      </c>
      <c r="B39" s="134" t="str">
        <f>IF('Kat. I'!C42="","",'Kat. I'!C42)</f>
        <v/>
      </c>
      <c r="C39" s="170" t="str">
        <f>IF('Kat. I'!$C42="","",'Kat. I'!$D42)</f>
        <v/>
      </c>
      <c r="D39" s="170" t="str">
        <f>IF('Kat. I'!$C102="","",'Kat. I'!$D102)</f>
        <v/>
      </c>
      <c r="E39" s="170" t="str">
        <f>IF('Kat. I'!$C162="","",'Kat. I'!$D162)</f>
        <v/>
      </c>
      <c r="F39" s="170" t="str">
        <f>IF('Kat. I'!$C222="","",'Kat. I'!$D222)</f>
        <v/>
      </c>
      <c r="G39" s="170" t="str">
        <f>IF('Kat. I'!$C282="","",'Kat. I'!$D282)</f>
        <v/>
      </c>
      <c r="H39" s="170" t="str">
        <f>IF('Kat. I'!$C342="","",'Kat. I'!$D342)</f>
        <v/>
      </c>
      <c r="I39" s="170" t="str">
        <f>IF('Kat. I'!$C402="","",'Kat. I'!$D402)</f>
        <v/>
      </c>
      <c r="J39" s="170" t="str">
        <f>IF('Kat. I'!$C462="","",'Kat. I'!$D462)</f>
        <v/>
      </c>
      <c r="K39" s="170" t="str">
        <f>IF('Kat. I'!$C522="","",'Kat. I'!$D522)</f>
        <v/>
      </c>
      <c r="L39" s="170" t="str">
        <f>IF('Kat. I'!$C582="","",'Kat. I'!$D582)</f>
        <v/>
      </c>
      <c r="M39" s="170" t="str">
        <f>IF('Kat. I'!$C642="","",'Kat. I'!$D642)</f>
        <v/>
      </c>
      <c r="N39" s="170" t="str">
        <f>IF('Kat. I'!$C702="","",'Kat. I'!$D702)</f>
        <v/>
      </c>
      <c r="O39" s="170" t="str">
        <f t="shared" si="0"/>
        <v/>
      </c>
      <c r="R39" s="172">
        <v>4</v>
      </c>
      <c r="S39" s="171"/>
    </row>
    <row r="40" spans="1:19" ht="9.9499999999999993" customHeight="1">
      <c r="A40" s="133">
        <f>IF('Kat. I'!A43="","",'Kat. I'!A43)</f>
        <v>136</v>
      </c>
      <c r="B40" s="134" t="str">
        <f>IF('Kat. I'!C43="","",'Kat. I'!C43)</f>
        <v/>
      </c>
      <c r="C40" s="170" t="str">
        <f>IF('Kat. I'!$C43="","",'Kat. I'!$D43)</f>
        <v/>
      </c>
      <c r="D40" s="170" t="str">
        <f>IF('Kat. I'!$C103="","",'Kat. I'!$D103)</f>
        <v/>
      </c>
      <c r="E40" s="170" t="str">
        <f>IF('Kat. I'!$C163="","",'Kat. I'!$D163)</f>
        <v/>
      </c>
      <c r="F40" s="170" t="str">
        <f>IF('Kat. I'!$C223="","",'Kat. I'!$D223)</f>
        <v/>
      </c>
      <c r="G40" s="170" t="str">
        <f>IF('Kat. I'!$C283="","",'Kat. I'!$D283)</f>
        <v/>
      </c>
      <c r="H40" s="170" t="str">
        <f>IF('Kat. I'!$C343="","",'Kat. I'!$D343)</f>
        <v/>
      </c>
      <c r="I40" s="170" t="str">
        <f>IF('Kat. I'!$C403="","",'Kat. I'!$D403)</f>
        <v/>
      </c>
      <c r="J40" s="170" t="str">
        <f>IF('Kat. I'!$C463="","",'Kat. I'!$D463)</f>
        <v/>
      </c>
      <c r="K40" s="170" t="str">
        <f>IF('Kat. I'!$C523="","",'Kat. I'!$D523)</f>
        <v/>
      </c>
      <c r="L40" s="170" t="str">
        <f>IF('Kat. I'!$C583="","",'Kat. I'!$D583)</f>
        <v/>
      </c>
      <c r="M40" s="170" t="str">
        <f>IF('Kat. I'!$C643="","",'Kat. I'!$D643)</f>
        <v/>
      </c>
      <c r="N40" s="170" t="str">
        <f>IF('Kat. I'!$C703="","",'Kat. I'!$D703)</f>
        <v/>
      </c>
      <c r="O40" s="170" t="str">
        <f t="shared" si="0"/>
        <v/>
      </c>
      <c r="R40" s="172">
        <v>5</v>
      </c>
      <c r="S40" s="171"/>
    </row>
    <row r="41" spans="1:19" ht="9.9499999999999993" customHeight="1">
      <c r="A41" s="133">
        <f>IF('Kat. I'!A44="","",'Kat. I'!A44)</f>
        <v>137</v>
      </c>
      <c r="B41" s="134" t="str">
        <f>IF('Kat. I'!C44="","",'Kat. I'!C44)</f>
        <v/>
      </c>
      <c r="C41" s="170" t="str">
        <f>IF('Kat. I'!$C44="","",'Kat. I'!$D44)</f>
        <v/>
      </c>
      <c r="D41" s="170" t="str">
        <f>IF('Kat. I'!$C104="","",'Kat. I'!$D104)</f>
        <v/>
      </c>
      <c r="E41" s="170" t="str">
        <f>IF('Kat. I'!$C164="","",'Kat. I'!$D164)</f>
        <v/>
      </c>
      <c r="F41" s="170" t="str">
        <f>IF('Kat. I'!$C224="","",'Kat. I'!$D224)</f>
        <v/>
      </c>
      <c r="G41" s="170" t="str">
        <f>IF('Kat. I'!$C284="","",'Kat. I'!$D284)</f>
        <v/>
      </c>
      <c r="H41" s="170" t="str">
        <f>IF('Kat. I'!$C344="","",'Kat. I'!$D344)</f>
        <v/>
      </c>
      <c r="I41" s="170" t="str">
        <f>IF('Kat. I'!$C404="","",'Kat. I'!$D404)</f>
        <v/>
      </c>
      <c r="J41" s="170" t="str">
        <f>IF('Kat. I'!$C464="","",'Kat. I'!$D464)</f>
        <v/>
      </c>
      <c r="K41" s="170" t="str">
        <f>IF('Kat. I'!$C524="","",'Kat. I'!$D524)</f>
        <v/>
      </c>
      <c r="L41" s="170" t="str">
        <f>IF('Kat. I'!$C584="","",'Kat. I'!$D584)</f>
        <v/>
      </c>
      <c r="M41" s="170" t="str">
        <f>IF('Kat. I'!$C644="","",'Kat. I'!$D644)</f>
        <v/>
      </c>
      <c r="N41" s="170" t="str">
        <f>IF('Kat. I'!$C704="","",'Kat. I'!$D704)</f>
        <v/>
      </c>
      <c r="O41" s="170" t="str">
        <f t="shared" si="0"/>
        <v/>
      </c>
      <c r="R41" s="172">
        <v>6</v>
      </c>
      <c r="S41" s="171"/>
    </row>
    <row r="42" spans="1:19" ht="9.9499999999999993" customHeight="1">
      <c r="A42" s="133">
        <f>IF('Kat. I'!A45="","",'Kat. I'!A45)</f>
        <v>138</v>
      </c>
      <c r="B42" s="134" t="str">
        <f>IF('Kat. I'!C45="","",'Kat. I'!C45)</f>
        <v/>
      </c>
      <c r="C42" s="170" t="str">
        <f>IF('Kat. I'!$C45="","",'Kat. I'!$D45)</f>
        <v/>
      </c>
      <c r="D42" s="170" t="str">
        <f>IF('Kat. I'!$C105="","",'Kat. I'!$D105)</f>
        <v/>
      </c>
      <c r="E42" s="170" t="str">
        <f>IF('Kat. I'!$C165="","",'Kat. I'!$D165)</f>
        <v/>
      </c>
      <c r="F42" s="170" t="str">
        <f>IF('Kat. I'!$C225="","",'Kat. I'!$D225)</f>
        <v/>
      </c>
      <c r="G42" s="170" t="str">
        <f>IF('Kat. I'!$C285="","",'Kat. I'!$D285)</f>
        <v/>
      </c>
      <c r="H42" s="170" t="str">
        <f>IF('Kat. I'!$C345="","",'Kat. I'!$D345)</f>
        <v/>
      </c>
      <c r="I42" s="170" t="str">
        <f>IF('Kat. I'!$C405="","",'Kat. I'!$D405)</f>
        <v/>
      </c>
      <c r="J42" s="170" t="str">
        <f>IF('Kat. I'!$C465="","",'Kat. I'!$D465)</f>
        <v/>
      </c>
      <c r="K42" s="170" t="str">
        <f>IF('Kat. I'!$C525="","",'Kat. I'!$D525)</f>
        <v/>
      </c>
      <c r="L42" s="170" t="str">
        <f>IF('Kat. I'!$C585="","",'Kat. I'!$D585)</f>
        <v/>
      </c>
      <c r="M42" s="170" t="str">
        <f>IF('Kat. I'!$C645="","",'Kat. I'!$D645)</f>
        <v/>
      </c>
      <c r="N42" s="170" t="str">
        <f>IF('Kat. I'!$C705="","",'Kat. I'!$D705)</f>
        <v/>
      </c>
      <c r="O42" s="170" t="str">
        <f t="shared" si="0"/>
        <v/>
      </c>
      <c r="R42" s="172">
        <v>7</v>
      </c>
      <c r="S42" s="171"/>
    </row>
    <row r="43" spans="1:19" ht="9.9499999999999993" customHeight="1">
      <c r="A43" s="133">
        <f>IF('Kat. I'!A46="","",'Kat. I'!A46)</f>
        <v>139</v>
      </c>
      <c r="B43" s="134" t="str">
        <f>IF('Kat. I'!C46="","",'Kat. I'!C46)</f>
        <v/>
      </c>
      <c r="C43" s="170" t="str">
        <f>IF('Kat. I'!$C46="","",'Kat. I'!$D46)</f>
        <v/>
      </c>
      <c r="D43" s="170" t="str">
        <f>IF('Kat. I'!$C106="","",'Kat. I'!$D106)</f>
        <v/>
      </c>
      <c r="E43" s="170" t="str">
        <f>IF('Kat. I'!$C166="","",'Kat. I'!$D166)</f>
        <v/>
      </c>
      <c r="F43" s="170" t="str">
        <f>IF('Kat. I'!$C226="","",'Kat. I'!$D226)</f>
        <v/>
      </c>
      <c r="G43" s="170" t="str">
        <f>IF('Kat. I'!$C286="","",'Kat. I'!$D286)</f>
        <v/>
      </c>
      <c r="H43" s="170" t="str">
        <f>IF('Kat. I'!$C346="","",'Kat. I'!$D346)</f>
        <v/>
      </c>
      <c r="I43" s="170" t="str">
        <f>IF('Kat. I'!$C406="","",'Kat. I'!$D406)</f>
        <v/>
      </c>
      <c r="J43" s="170" t="str">
        <f>IF('Kat. I'!$C466="","",'Kat. I'!$D466)</f>
        <v/>
      </c>
      <c r="K43" s="170" t="str">
        <f>IF('Kat. I'!$C526="","",'Kat. I'!$D526)</f>
        <v/>
      </c>
      <c r="L43" s="170" t="str">
        <f>IF('Kat. I'!$C586="","",'Kat. I'!$D586)</f>
        <v/>
      </c>
      <c r="M43" s="170" t="str">
        <f>IF('Kat. I'!$C646="","",'Kat. I'!$D646)</f>
        <v/>
      </c>
      <c r="N43" s="170" t="str">
        <f>IF('Kat. I'!$C706="","",'Kat. I'!$D706)</f>
        <v/>
      </c>
      <c r="O43" s="170" t="str">
        <f t="shared" si="0"/>
        <v/>
      </c>
      <c r="R43" s="172">
        <v>8</v>
      </c>
      <c r="S43" s="171"/>
    </row>
    <row r="44" spans="1:19" ht="9.9499999999999993" customHeight="1">
      <c r="A44" s="133">
        <f>IF('Kat. I'!A47="","",'Kat. I'!A47)</f>
        <v>140</v>
      </c>
      <c r="B44" s="134" t="str">
        <f>IF('Kat. I'!C47="","",'Kat. I'!C47)</f>
        <v/>
      </c>
      <c r="C44" s="170" t="str">
        <f>IF('Kat. I'!$C47="","",'Kat. I'!$D47)</f>
        <v/>
      </c>
      <c r="D44" s="170" t="str">
        <f>IF('Kat. I'!$C107="","",'Kat. I'!$D107)</f>
        <v/>
      </c>
      <c r="E44" s="170" t="str">
        <f>IF('Kat. I'!$C167="","",'Kat. I'!$D167)</f>
        <v/>
      </c>
      <c r="F44" s="170" t="str">
        <f>IF('Kat. I'!$C227="","",'Kat. I'!$D227)</f>
        <v/>
      </c>
      <c r="G44" s="170" t="str">
        <f>IF('Kat. I'!$C287="","",'Kat. I'!$D287)</f>
        <v/>
      </c>
      <c r="H44" s="170" t="str">
        <f>IF('Kat. I'!$C347="","",'Kat. I'!$D347)</f>
        <v/>
      </c>
      <c r="I44" s="170" t="str">
        <f>IF('Kat. I'!$C407="","",'Kat. I'!$D407)</f>
        <v/>
      </c>
      <c r="J44" s="170" t="str">
        <f>IF('Kat. I'!$C467="","",'Kat. I'!$D467)</f>
        <v/>
      </c>
      <c r="K44" s="170" t="str">
        <f>IF('Kat. I'!$C527="","",'Kat. I'!$D527)</f>
        <v/>
      </c>
      <c r="L44" s="170" t="str">
        <f>IF('Kat. I'!$C587="","",'Kat. I'!$D587)</f>
        <v/>
      </c>
      <c r="M44" s="170" t="str">
        <f>IF('Kat. I'!$C647="","",'Kat. I'!$D647)</f>
        <v/>
      </c>
      <c r="N44" s="170" t="str">
        <f>IF('Kat. I'!$C707="","",'Kat. I'!$D707)</f>
        <v/>
      </c>
      <c r="O44" s="170" t="str">
        <f t="shared" si="0"/>
        <v/>
      </c>
      <c r="R44" s="172">
        <v>9</v>
      </c>
      <c r="S44" s="171"/>
    </row>
    <row r="45" spans="1:19" ht="9.9499999999999993" customHeight="1">
      <c r="A45" s="133">
        <f>IF('Kat. I'!A48="","",'Kat. I'!A48)</f>
        <v>141</v>
      </c>
      <c r="B45" s="134" t="str">
        <f>IF('Kat. I'!C48="","",'Kat. I'!C48)</f>
        <v/>
      </c>
      <c r="C45" s="170" t="str">
        <f>IF('Kat. I'!$C48="","",'Kat. I'!$D48)</f>
        <v/>
      </c>
      <c r="D45" s="170" t="str">
        <f>IF('Kat. I'!$C108="","",'Kat. I'!$D108)</f>
        <v/>
      </c>
      <c r="E45" s="170" t="str">
        <f>IF('Kat. I'!$C168="","",'Kat. I'!$D168)</f>
        <v/>
      </c>
      <c r="F45" s="170" t="str">
        <f>IF('Kat. I'!$C228="","",'Kat. I'!$D228)</f>
        <v/>
      </c>
      <c r="G45" s="170" t="str">
        <f>IF('Kat. I'!$C288="","",'Kat. I'!$D288)</f>
        <v/>
      </c>
      <c r="H45" s="170" t="str">
        <f>IF('Kat. I'!$C348="","",'Kat. I'!$D348)</f>
        <v/>
      </c>
      <c r="I45" s="170" t="str">
        <f>IF('Kat. I'!$C408="","",'Kat. I'!$D408)</f>
        <v/>
      </c>
      <c r="J45" s="170" t="str">
        <f>IF('Kat. I'!$C468="","",'Kat. I'!$D468)</f>
        <v/>
      </c>
      <c r="K45" s="170" t="str">
        <f>IF('Kat. I'!$C528="","",'Kat. I'!$D528)</f>
        <v/>
      </c>
      <c r="L45" s="170" t="str">
        <f>IF('Kat. I'!$C588="","",'Kat. I'!$D588)</f>
        <v/>
      </c>
      <c r="M45" s="170" t="str">
        <f>IF('Kat. I'!$C648="","",'Kat. I'!$D648)</f>
        <v/>
      </c>
      <c r="N45" s="170" t="str">
        <f>IF('Kat. I'!$C708="","",'Kat. I'!$D708)</f>
        <v/>
      </c>
      <c r="O45" s="170" t="str">
        <f t="shared" si="0"/>
        <v/>
      </c>
      <c r="R45" s="172"/>
      <c r="S45" s="172"/>
    </row>
    <row r="46" spans="1:19" ht="9.9499999999999993" customHeight="1">
      <c r="A46" s="133">
        <f>IF('Kat. I'!A49="","",'Kat. I'!A49)</f>
        <v>142</v>
      </c>
      <c r="B46" s="134" t="str">
        <f>IF('Kat. I'!C49="","",'Kat. I'!C49)</f>
        <v/>
      </c>
      <c r="C46" s="170" t="str">
        <f>IF('Kat. I'!$C49="","",'Kat. I'!$D49)</f>
        <v/>
      </c>
      <c r="D46" s="170" t="str">
        <f>IF('Kat. I'!$C109="","",'Kat. I'!$D109)</f>
        <v/>
      </c>
      <c r="E46" s="170" t="str">
        <f>IF('Kat. I'!$C169="","",'Kat. I'!$D169)</f>
        <v/>
      </c>
      <c r="F46" s="170" t="str">
        <f>IF('Kat. I'!$C229="","",'Kat. I'!$D229)</f>
        <v/>
      </c>
      <c r="G46" s="170" t="str">
        <f>IF('Kat. I'!$C289="","",'Kat. I'!$D289)</f>
        <v/>
      </c>
      <c r="H46" s="170" t="str">
        <f>IF('Kat. I'!$C349="","",'Kat. I'!$D349)</f>
        <v/>
      </c>
      <c r="I46" s="170" t="str">
        <f>IF('Kat. I'!$C409="","",'Kat. I'!$D409)</f>
        <v/>
      </c>
      <c r="J46" s="170" t="str">
        <f>IF('Kat. I'!$C469="","",'Kat. I'!$D469)</f>
        <v/>
      </c>
      <c r="K46" s="170" t="str">
        <f>IF('Kat. I'!$C529="","",'Kat. I'!$D529)</f>
        <v/>
      </c>
      <c r="L46" s="170" t="str">
        <f>IF('Kat. I'!$C589="","",'Kat. I'!$D589)</f>
        <v/>
      </c>
      <c r="M46" s="170" t="str">
        <f>IF('Kat. I'!$C649="","",'Kat. I'!$D649)</f>
        <v/>
      </c>
      <c r="N46" s="170" t="str">
        <f>IF('Kat. I'!$C709="","",'Kat. I'!$D709)</f>
        <v/>
      </c>
      <c r="O46" s="170" t="str">
        <f t="shared" si="0"/>
        <v/>
      </c>
      <c r="R46" s="172"/>
      <c r="S46" s="172"/>
    </row>
    <row r="47" spans="1:19" ht="9.9499999999999993" customHeight="1">
      <c r="A47" s="133">
        <f>IF('Kat. I'!A50="","",'Kat. I'!A50)</f>
        <v>143</v>
      </c>
      <c r="B47" s="134" t="str">
        <f>IF('Kat. I'!C50="","",'Kat. I'!C50)</f>
        <v/>
      </c>
      <c r="C47" s="170" t="str">
        <f>IF('Kat. I'!$C50="","",'Kat. I'!$D50)</f>
        <v/>
      </c>
      <c r="D47" s="170" t="str">
        <f>IF('Kat. I'!$C110="","",'Kat. I'!$D110)</f>
        <v/>
      </c>
      <c r="E47" s="170" t="str">
        <f>IF('Kat. I'!$C170="","",'Kat. I'!$D170)</f>
        <v/>
      </c>
      <c r="F47" s="170" t="str">
        <f>IF('Kat. I'!$C230="","",'Kat. I'!$D230)</f>
        <v/>
      </c>
      <c r="G47" s="170" t="str">
        <f>IF('Kat. I'!$C290="","",'Kat. I'!$D290)</f>
        <v/>
      </c>
      <c r="H47" s="170" t="str">
        <f>IF('Kat. I'!$C350="","",'Kat. I'!$D350)</f>
        <v/>
      </c>
      <c r="I47" s="170" t="str">
        <f>IF('Kat. I'!$C410="","",'Kat. I'!$D410)</f>
        <v/>
      </c>
      <c r="J47" s="170" t="str">
        <f>IF('Kat. I'!$C470="","",'Kat. I'!$D470)</f>
        <v/>
      </c>
      <c r="K47" s="170" t="str">
        <f>IF('Kat. I'!$C530="","",'Kat. I'!$D530)</f>
        <v/>
      </c>
      <c r="L47" s="170" t="str">
        <f>IF('Kat. I'!$C590="","",'Kat. I'!$D590)</f>
        <v/>
      </c>
      <c r="M47" s="170" t="str">
        <f>IF('Kat. I'!$C650="","",'Kat. I'!$D650)</f>
        <v/>
      </c>
      <c r="N47" s="170" t="str">
        <f>IF('Kat. I'!$C710="","",'Kat. I'!$D710)</f>
        <v/>
      </c>
      <c r="O47" s="170" t="str">
        <f t="shared" si="0"/>
        <v/>
      </c>
      <c r="R47" s="172"/>
      <c r="S47" s="172"/>
    </row>
    <row r="48" spans="1:19" ht="9.9499999999999993" customHeight="1">
      <c r="A48" s="133">
        <f>IF('Kat. I'!A51="","",'Kat. I'!A51)</f>
        <v>144</v>
      </c>
      <c r="B48" s="134" t="str">
        <f>IF('Kat. I'!C51="","",'Kat. I'!C51)</f>
        <v/>
      </c>
      <c r="C48" s="170" t="str">
        <f>IF('Kat. I'!$C51="","",'Kat. I'!$D51)</f>
        <v/>
      </c>
      <c r="D48" s="170" t="str">
        <f>IF('Kat. I'!$C111="","",'Kat. I'!$D111)</f>
        <v/>
      </c>
      <c r="E48" s="170" t="str">
        <f>IF('Kat. I'!$C171="","",'Kat. I'!$D171)</f>
        <v/>
      </c>
      <c r="F48" s="170" t="str">
        <f>IF('Kat. I'!$C231="","",'Kat. I'!$D231)</f>
        <v/>
      </c>
      <c r="G48" s="170" t="str">
        <f>IF('Kat. I'!$C291="","",'Kat. I'!$D291)</f>
        <v/>
      </c>
      <c r="H48" s="170" t="str">
        <f>IF('Kat. I'!$C351="","",'Kat. I'!$D351)</f>
        <v/>
      </c>
      <c r="I48" s="170" t="str">
        <f>IF('Kat. I'!$C411="","",'Kat. I'!$D411)</f>
        <v/>
      </c>
      <c r="J48" s="170" t="str">
        <f>IF('Kat. I'!$C471="","",'Kat. I'!$D471)</f>
        <v/>
      </c>
      <c r="K48" s="170" t="str">
        <f>IF('Kat. I'!$C531="","",'Kat. I'!$D531)</f>
        <v/>
      </c>
      <c r="L48" s="170" t="str">
        <f>IF('Kat. I'!$C591="","",'Kat. I'!$D591)</f>
        <v/>
      </c>
      <c r="M48" s="170" t="str">
        <f>IF('Kat. I'!$C651="","",'Kat. I'!$D651)</f>
        <v/>
      </c>
      <c r="N48" s="170" t="str">
        <f>IF('Kat. I'!$C711="","",'Kat. I'!$D711)</f>
        <v/>
      </c>
      <c r="O48" s="170" t="str">
        <f t="shared" si="0"/>
        <v/>
      </c>
      <c r="R48" s="172"/>
      <c r="S48" s="172"/>
    </row>
    <row r="49" spans="1:19" ht="9.9499999999999993" customHeight="1">
      <c r="A49" s="133">
        <f>IF('Kat. I'!A52="","",'Kat. I'!A52)</f>
        <v>145</v>
      </c>
      <c r="B49" s="134" t="str">
        <f>IF('Kat. I'!C52="","",'Kat. I'!C52)</f>
        <v/>
      </c>
      <c r="C49" s="170" t="str">
        <f>IF('Kat. I'!$C52="","",'Kat. I'!$D52)</f>
        <v/>
      </c>
      <c r="D49" s="170" t="str">
        <f>IF('Kat. I'!$C112="","",'Kat. I'!$D112)</f>
        <v/>
      </c>
      <c r="E49" s="170" t="str">
        <f>IF('Kat. I'!$C172="","",'Kat. I'!$D172)</f>
        <v/>
      </c>
      <c r="F49" s="170" t="str">
        <f>IF('Kat. I'!$C232="","",'Kat. I'!$D232)</f>
        <v/>
      </c>
      <c r="G49" s="170" t="str">
        <f>IF('Kat. I'!$C292="","",'Kat. I'!$D292)</f>
        <v/>
      </c>
      <c r="H49" s="170" t="str">
        <f>IF('Kat. I'!$C352="","",'Kat. I'!$D352)</f>
        <v/>
      </c>
      <c r="I49" s="170" t="str">
        <f>IF('Kat. I'!$C412="","",'Kat. I'!$D412)</f>
        <v/>
      </c>
      <c r="J49" s="170" t="str">
        <f>IF('Kat. I'!$C472="","",'Kat. I'!$D472)</f>
        <v/>
      </c>
      <c r="K49" s="170" t="str">
        <f>IF('Kat. I'!$C532="","",'Kat. I'!$D532)</f>
        <v/>
      </c>
      <c r="L49" s="170" t="str">
        <f>IF('Kat. I'!$C592="","",'Kat. I'!$D592)</f>
        <v/>
      </c>
      <c r="M49" s="170" t="str">
        <f>IF('Kat. I'!$C652="","",'Kat. I'!$D652)</f>
        <v/>
      </c>
      <c r="N49" s="170" t="str">
        <f>IF('Kat. I'!$C712="","",'Kat. I'!$D712)</f>
        <v/>
      </c>
      <c r="O49" s="170" t="str">
        <f t="shared" si="0"/>
        <v/>
      </c>
      <c r="R49" s="172"/>
      <c r="S49" s="172"/>
    </row>
    <row r="50" spans="1:19" ht="9.9499999999999993" customHeight="1">
      <c r="A50" s="133">
        <f>IF('Kat. I'!A53="","",'Kat. I'!A53)</f>
        <v>146</v>
      </c>
      <c r="B50" s="134" t="str">
        <f>IF('Kat. I'!C53="","",'Kat. I'!C53)</f>
        <v/>
      </c>
      <c r="C50" s="170" t="str">
        <f>IF('Kat. I'!$C53="","",'Kat. I'!$D53)</f>
        <v/>
      </c>
      <c r="D50" s="170" t="str">
        <f>IF('Kat. I'!$C113="","",'Kat. I'!$D113)</f>
        <v/>
      </c>
      <c r="E50" s="170" t="str">
        <f>IF('Kat. I'!$C173="","",'Kat. I'!$D173)</f>
        <v/>
      </c>
      <c r="F50" s="170" t="str">
        <f>IF('Kat. I'!$C233="","",'Kat. I'!$D233)</f>
        <v/>
      </c>
      <c r="G50" s="170" t="str">
        <f>IF('Kat. I'!$C293="","",'Kat. I'!$D293)</f>
        <v/>
      </c>
      <c r="H50" s="170" t="str">
        <f>IF('Kat. I'!$C353="","",'Kat. I'!$D353)</f>
        <v/>
      </c>
      <c r="I50" s="170" t="str">
        <f>IF('Kat. I'!$C413="","",'Kat. I'!$D413)</f>
        <v/>
      </c>
      <c r="J50" s="170" t="str">
        <f>IF('Kat. I'!$C473="","",'Kat. I'!$D473)</f>
        <v/>
      </c>
      <c r="K50" s="170" t="str">
        <f>IF('Kat. I'!$C533="","",'Kat. I'!$D533)</f>
        <v/>
      </c>
      <c r="L50" s="170" t="str">
        <f>IF('Kat. I'!$C593="","",'Kat. I'!$D593)</f>
        <v/>
      </c>
      <c r="M50" s="170" t="str">
        <f>IF('Kat. I'!$C653="","",'Kat. I'!$D653)</f>
        <v/>
      </c>
      <c r="N50" s="170" t="str">
        <f>IF('Kat. I'!$C713="","",'Kat. I'!$D713)</f>
        <v/>
      </c>
      <c r="O50" s="170" t="str">
        <f t="shared" si="0"/>
        <v/>
      </c>
      <c r="R50" s="172"/>
      <c r="S50" s="172"/>
    </row>
    <row r="51" spans="1:19" ht="9.9499999999999993" customHeight="1">
      <c r="A51" s="133">
        <f>IF('Kat. I'!A54="","",'Kat. I'!A54)</f>
        <v>147</v>
      </c>
      <c r="B51" s="134" t="str">
        <f>IF('Kat. I'!C54="","",'Kat. I'!C54)</f>
        <v>Diverse Privateinnahmen</v>
      </c>
      <c r="C51" s="170">
        <f ca="1">IF('Kat. I'!$C54="","",'Kat. I'!$D54)</f>
        <v>120.75</v>
      </c>
      <c r="D51" s="170">
        <f ca="1">IF('Kat. I'!$C114="","",'Kat. I'!$D114)</f>
        <v>0</v>
      </c>
      <c r="E51" s="170">
        <f ca="1">IF('Kat. I'!$C174="","",'Kat. I'!$D174)</f>
        <v>0</v>
      </c>
      <c r="F51" s="170">
        <f ca="1">IF('Kat. I'!$C234="","",'Kat. I'!$D234)</f>
        <v>0</v>
      </c>
      <c r="G51" s="170">
        <f ca="1">IF('Kat. I'!$C294="","",'Kat. I'!$D294)</f>
        <v>0</v>
      </c>
      <c r="H51" s="170">
        <f ca="1">IF('Kat. I'!$C354="","",'Kat. I'!$D354)</f>
        <v>0</v>
      </c>
      <c r="I51" s="170">
        <f ca="1">IF('Kat. I'!$C414="","",'Kat. I'!$D414)</f>
        <v>0</v>
      </c>
      <c r="J51" s="170">
        <f ca="1">IF('Kat. I'!$C474="","",'Kat. I'!$D474)</f>
        <v>0</v>
      </c>
      <c r="K51" s="170">
        <f ca="1">IF('Kat. I'!$C534="","",'Kat. I'!$D534)</f>
        <v>0</v>
      </c>
      <c r="L51" s="170">
        <f ca="1">IF('Kat. I'!$C594="","",'Kat. I'!$D594)</f>
        <v>0</v>
      </c>
      <c r="M51" s="170">
        <f ca="1">IF('Kat. I'!$C654="","",'Kat. I'!$D654)</f>
        <v>0</v>
      </c>
      <c r="N51" s="170">
        <f ca="1">IF('Kat. I'!$C714="","",'Kat. I'!$D714)</f>
        <v>0</v>
      </c>
      <c r="O51" s="170">
        <f t="shared" ca="1" si="0"/>
        <v>120.75</v>
      </c>
      <c r="R51" s="172" t="s">
        <v>160</v>
      </c>
      <c r="S51" s="171"/>
    </row>
    <row r="52" spans="1:19" ht="9.9499999999999993" customHeight="1">
      <c r="A52" s="133">
        <f>IF('Kat. I'!A55="","",'Kat. I'!A55)</f>
        <v>148</v>
      </c>
      <c r="B52" s="134" t="str">
        <f>IF('Kat. I'!C55="","",'Kat. I'!C55)</f>
        <v/>
      </c>
      <c r="C52" s="170" t="str">
        <f>IF('Kat. I'!$C55="","",'Kat. I'!$D55)</f>
        <v/>
      </c>
      <c r="D52" s="170" t="str">
        <f>IF('Kat. I'!$C115="","",'Kat. I'!$D115)</f>
        <v/>
      </c>
      <c r="E52" s="170" t="str">
        <f>IF('Kat. I'!$C175="","",'Kat. I'!$D175)</f>
        <v/>
      </c>
      <c r="F52" s="170" t="str">
        <f>IF('Kat. I'!$C235="","",'Kat. I'!$D235)</f>
        <v/>
      </c>
      <c r="G52" s="170" t="str">
        <f>IF('Kat. I'!$C295="","",'Kat. I'!$D295)</f>
        <v/>
      </c>
      <c r="H52" s="170" t="str">
        <f>IF('Kat. I'!$C355="","",'Kat. I'!$D355)</f>
        <v/>
      </c>
      <c r="I52" s="170" t="str">
        <f>IF('Kat. I'!$C415="","",'Kat. I'!$D415)</f>
        <v/>
      </c>
      <c r="J52" s="170" t="str">
        <f>IF('Kat. I'!$C475="","",'Kat. I'!$D475)</f>
        <v/>
      </c>
      <c r="K52" s="170" t="str">
        <f>IF('Kat. I'!$C535="","",'Kat. I'!$D535)</f>
        <v/>
      </c>
      <c r="L52" s="170" t="str">
        <f>IF('Kat. I'!$C595="","",'Kat. I'!$D595)</f>
        <v/>
      </c>
      <c r="M52" s="170" t="str">
        <f>IF('Kat. I'!$C655="","",'Kat. I'!$D655)</f>
        <v/>
      </c>
      <c r="N52" s="170" t="str">
        <f>IF('Kat. I'!$C715="","",'Kat. I'!$D715)</f>
        <v/>
      </c>
      <c r="O52" s="170" t="str">
        <f t="shared" si="0"/>
        <v/>
      </c>
      <c r="R52" s="172" t="s">
        <v>161</v>
      </c>
      <c r="S52" s="171"/>
    </row>
    <row r="53" spans="1:19" ht="9.9499999999999993" customHeight="1">
      <c r="A53" s="133">
        <f>IF('Kat. I'!A56="","",'Kat. I'!A56)</f>
        <v>149</v>
      </c>
      <c r="B53" s="134" t="str">
        <f>IF('Kat. I'!C56="","",'Kat. I'!C56)</f>
        <v/>
      </c>
      <c r="C53" s="170" t="str">
        <f>IF('Kat. I'!$C56="","",'Kat. I'!$D56)</f>
        <v/>
      </c>
      <c r="D53" s="170" t="str">
        <f>IF('Kat. I'!$C116="","",'Kat. I'!$D116)</f>
        <v/>
      </c>
      <c r="E53" s="170" t="str">
        <f>IF('Kat. I'!$C176="","",'Kat. I'!$D176)</f>
        <v/>
      </c>
      <c r="F53" s="170" t="str">
        <f>IF('Kat. I'!$C236="","",'Kat. I'!$D236)</f>
        <v/>
      </c>
      <c r="G53" s="170" t="str">
        <f>IF('Kat. I'!$C296="","",'Kat. I'!$D296)</f>
        <v/>
      </c>
      <c r="H53" s="170" t="str">
        <f>IF('Kat. I'!$C356="","",'Kat. I'!$D356)</f>
        <v/>
      </c>
      <c r="I53" s="170" t="str">
        <f>IF('Kat. I'!$C416="","",'Kat. I'!$D416)</f>
        <v/>
      </c>
      <c r="J53" s="170" t="str">
        <f>IF('Kat. I'!$C476="","",'Kat. I'!$D476)</f>
        <v/>
      </c>
      <c r="K53" s="170" t="str">
        <f>IF('Kat. I'!$C536="","",'Kat. I'!$D536)</f>
        <v/>
      </c>
      <c r="L53" s="170" t="str">
        <f>IF('Kat. I'!$C596="","",'Kat. I'!$D596)</f>
        <v/>
      </c>
      <c r="M53" s="170" t="str">
        <f>IF('Kat. I'!$C656="","",'Kat. I'!$D656)</f>
        <v/>
      </c>
      <c r="N53" s="170" t="str">
        <f>IF('Kat. I'!$C716="","",'Kat. I'!$D716)</f>
        <v/>
      </c>
      <c r="O53" s="170" t="str">
        <f t="shared" si="0"/>
        <v/>
      </c>
      <c r="R53" s="172" t="s">
        <v>62</v>
      </c>
      <c r="S53" s="171"/>
    </row>
    <row r="54" spans="1:19" ht="9.9499999999999993" customHeight="1" thickBot="1">
      <c r="A54" s="133">
        <f>IF('Kat. I'!A57="","",'Kat. I'!A57)</f>
        <v>150</v>
      </c>
      <c r="B54" s="134" t="str">
        <f>IF('Kat. I'!C57="","",'Kat. I'!C57)</f>
        <v>Zinsen, Zinssteuererstattungen</v>
      </c>
      <c r="C54" s="170">
        <f ca="1">IF('Kat. I'!$C57="","",'Kat. I'!$D57)</f>
        <v>0</v>
      </c>
      <c r="D54" s="170">
        <f ca="1">IF('Kat. I'!$C117="","",'Kat. I'!$D117)</f>
        <v>0</v>
      </c>
      <c r="E54" s="170">
        <f ca="1">IF('Kat. I'!$C177="","",'Kat. I'!$D177)</f>
        <v>0</v>
      </c>
      <c r="F54" s="170">
        <f ca="1">IF('Kat. I'!$C237="","",'Kat. I'!$D237)</f>
        <v>0</v>
      </c>
      <c r="G54" s="170">
        <f ca="1">IF('Kat. I'!$C297="","",'Kat. I'!$D297)</f>
        <v>0</v>
      </c>
      <c r="H54" s="170">
        <f ca="1">IF('Kat. I'!$C357="","",'Kat. I'!$D357)</f>
        <v>0</v>
      </c>
      <c r="I54" s="170">
        <f ca="1">IF('Kat. I'!$C417="","",'Kat. I'!$D417)</f>
        <v>0</v>
      </c>
      <c r="J54" s="170">
        <f ca="1">IF('Kat. I'!$C477="","",'Kat. I'!$D477)</f>
        <v>0</v>
      </c>
      <c r="K54" s="170">
        <f ca="1">IF('Kat. I'!$C537="","",'Kat. I'!$D537)</f>
        <v>0</v>
      </c>
      <c r="L54" s="170">
        <f ca="1">IF('Kat. I'!$C597="","",'Kat. I'!$D597)</f>
        <v>0</v>
      </c>
      <c r="M54" s="170">
        <f ca="1">IF('Kat. I'!$C657="","",'Kat. I'!$D657)</f>
        <v>0</v>
      </c>
      <c r="N54" s="170">
        <f ca="1">IF('Kat. I'!$C717="","",'Kat. I'!$D717)</f>
        <v>0</v>
      </c>
      <c r="O54" s="170">
        <f t="shared" ca="1" si="0"/>
        <v>0</v>
      </c>
      <c r="R54" s="172" t="s">
        <v>63</v>
      </c>
      <c r="S54" s="171"/>
    </row>
    <row r="55" spans="1:19" ht="9.9499999999999993" customHeight="1" thickTop="1" thickBot="1">
      <c r="A55" s="135" t="s">
        <v>38</v>
      </c>
      <c r="B55" s="136"/>
      <c r="C55" s="144">
        <f ca="1">SUM(C4:C54)</f>
        <v>1900.75</v>
      </c>
      <c r="D55" s="144">
        <f t="shared" ref="D55:O55" ca="1" si="1">SUM(D4:D54)</f>
        <v>0</v>
      </c>
      <c r="E55" s="144">
        <f t="shared" ca="1" si="1"/>
        <v>0</v>
      </c>
      <c r="F55" s="144">
        <f t="shared" ca="1" si="1"/>
        <v>0</v>
      </c>
      <c r="G55" s="144">
        <f t="shared" ca="1" si="1"/>
        <v>0</v>
      </c>
      <c r="H55" s="144">
        <f t="shared" ca="1" si="1"/>
        <v>0</v>
      </c>
      <c r="I55" s="144">
        <f t="shared" ca="1" si="1"/>
        <v>0</v>
      </c>
      <c r="J55" s="144">
        <f t="shared" ca="1" si="1"/>
        <v>0</v>
      </c>
      <c r="K55" s="144">
        <f t="shared" ca="1" si="1"/>
        <v>0</v>
      </c>
      <c r="L55" s="144">
        <f t="shared" ca="1" si="1"/>
        <v>0</v>
      </c>
      <c r="M55" s="144">
        <f t="shared" ca="1" si="1"/>
        <v>0</v>
      </c>
      <c r="N55" s="146">
        <f t="shared" ca="1" si="1"/>
        <v>0</v>
      </c>
      <c r="O55" s="137">
        <f t="shared" ca="1" si="1"/>
        <v>1900.75</v>
      </c>
      <c r="R55" s="172" t="s">
        <v>162</v>
      </c>
      <c r="S55" s="171"/>
    </row>
    <row r="56" spans="1:19" ht="9.9499999999999993" customHeight="1" thickTop="1">
      <c r="A56" s="138" t="s">
        <v>109</v>
      </c>
      <c r="B56" s="139"/>
      <c r="C56" s="147">
        <f ca="1">'Kat. I'!$D59</f>
        <v>1900.75</v>
      </c>
      <c r="D56" s="147">
        <f ca="1">'Kat. I'!$D119</f>
        <v>0</v>
      </c>
      <c r="E56" s="147">
        <f ca="1">'Kat. I'!$D179</f>
        <v>0</v>
      </c>
      <c r="F56" s="147">
        <f ca="1">'Kat. I'!$D239</f>
        <v>0</v>
      </c>
      <c r="G56" s="147">
        <f ca="1">'Kat. I'!$D299</f>
        <v>0</v>
      </c>
      <c r="H56" s="147">
        <f ca="1">'Kat. I'!$D359</f>
        <v>0</v>
      </c>
      <c r="I56" s="147">
        <f ca="1">'Kat. I'!$D419</f>
        <v>0</v>
      </c>
      <c r="J56" s="147">
        <f ca="1">'Kat. I'!$D479</f>
        <v>0</v>
      </c>
      <c r="K56" s="147">
        <f ca="1">'Kat. I'!$D539</f>
        <v>0</v>
      </c>
      <c r="L56" s="147">
        <f ca="1">'Kat. I'!$D599</f>
        <v>0</v>
      </c>
      <c r="M56" s="147">
        <f ca="1">'Kat. I'!$D659</f>
        <v>0</v>
      </c>
      <c r="N56" s="147">
        <f ca="1">'Kat. I'!$D719</f>
        <v>0</v>
      </c>
      <c r="O56" s="147">
        <f ca="1">'Kat. I'!$D779</f>
        <v>1900.75</v>
      </c>
    </row>
    <row r="57" spans="1:19" ht="9.9499999999999993" customHeight="1">
      <c r="A57" s="140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60" spans="1:19" ht="9.9499999999999993" customHeight="1">
      <c r="A60" s="126" t="s">
        <v>115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9" ht="9.9499999999999993" customHeight="1" thickBot="1"/>
    <row r="62" spans="1:19" ht="9.9499999999999993" customHeight="1" thickTop="1" thickBot="1">
      <c r="A62" s="130" t="s">
        <v>24</v>
      </c>
      <c r="B62" s="131" t="s">
        <v>25</v>
      </c>
      <c r="C62" s="143" t="s">
        <v>17</v>
      </c>
      <c r="D62" s="143" t="s">
        <v>18</v>
      </c>
      <c r="E62" s="143" t="s">
        <v>19</v>
      </c>
      <c r="F62" s="143" t="s">
        <v>22</v>
      </c>
      <c r="G62" s="143" t="s">
        <v>23</v>
      </c>
      <c r="H62" s="143" t="s">
        <v>27</v>
      </c>
      <c r="I62" s="143" t="s">
        <v>28</v>
      </c>
      <c r="J62" s="143" t="s">
        <v>29</v>
      </c>
      <c r="K62" s="143" t="s">
        <v>30</v>
      </c>
      <c r="L62" s="143" t="s">
        <v>31</v>
      </c>
      <c r="M62" s="143" t="s">
        <v>32</v>
      </c>
      <c r="N62" s="145" t="s">
        <v>33</v>
      </c>
      <c r="O62" s="132">
        <f>'Kat. I'!$A$2</f>
        <v>0</v>
      </c>
    </row>
    <row r="63" spans="1:19" ht="9.9499999999999993" customHeight="1" thickTop="1">
      <c r="A63" s="133">
        <f>IF('Kat. I'!F7="","",'Kat. I'!F7)</f>
        <v>200</v>
      </c>
      <c r="B63" s="134" t="str">
        <f>IF('Kat. I'!H7="","",'Kat. I'!H7)</f>
        <v>Maschinen und Geräte</v>
      </c>
      <c r="C63" s="170">
        <f ca="1">IF('Kat. I'!$H7="","",'Kat. I'!$I7)</f>
        <v>0</v>
      </c>
      <c r="D63" s="170">
        <f ca="1">IF('Kat. I'!$H67="","",'Kat. I'!$I67)</f>
        <v>0</v>
      </c>
      <c r="E63" s="170">
        <f ca="1">IF('Kat. I'!$H127="","",'Kat. I'!$I127)</f>
        <v>0</v>
      </c>
      <c r="F63" s="170">
        <f ca="1">IF('Kat. I'!$H187="","",'Kat. I'!$I187)</f>
        <v>0</v>
      </c>
      <c r="G63" s="170">
        <f ca="1">IF('Kat. I'!$H247="","",'Kat. I'!$I247)</f>
        <v>0</v>
      </c>
      <c r="H63" s="170">
        <f ca="1">IF('Kat. I'!$H307="","",'Kat. I'!$I307)</f>
        <v>0</v>
      </c>
      <c r="I63" s="170">
        <f ca="1">IF('Kat. I'!$H367="","",'Kat. I'!$I367)</f>
        <v>0</v>
      </c>
      <c r="J63" s="170">
        <f ca="1">IF('Kat. I'!$H427="","",'Kat. I'!$I427)</f>
        <v>0</v>
      </c>
      <c r="K63" s="170">
        <f ca="1">IF('Kat. I'!$H487="","",'Kat. I'!$I487)</f>
        <v>0</v>
      </c>
      <c r="L63" s="170">
        <f ca="1">IF('Kat. I'!$H547="","",'Kat. I'!$I547)</f>
        <v>0</v>
      </c>
      <c r="M63" s="170">
        <f ca="1">IF('Kat. I'!$H607="","",'Kat. I'!$I607)</f>
        <v>0</v>
      </c>
      <c r="N63" s="170">
        <f ca="1">IF('Kat. I'!$H667="","",'Kat. I'!$I667)</f>
        <v>0</v>
      </c>
      <c r="O63" s="170">
        <f t="shared" ref="O63:O113" ca="1" si="2">IF(B63="","",SUM(C63:N63))</f>
        <v>0</v>
      </c>
    </row>
    <row r="64" spans="1:19" ht="9.9499999999999993" customHeight="1">
      <c r="A64" s="133">
        <f>IF('Kat. I'!F8="","",'Kat. I'!F8)</f>
        <v>201</v>
      </c>
      <c r="B64" s="134" t="str">
        <f>IF('Kat. I'!H8="","",'Kat. I'!H8)</f>
        <v>Ladenmiete</v>
      </c>
      <c r="C64" s="170">
        <f ca="1">IF('Kat. I'!$H8="","",'Kat. I'!$I8)</f>
        <v>0</v>
      </c>
      <c r="D64" s="170">
        <f ca="1">IF('Kat. I'!$H68="","",'Kat. I'!$I68)</f>
        <v>0</v>
      </c>
      <c r="E64" s="170">
        <f ca="1">IF('Kat. I'!$H128="","",'Kat. I'!$I128)</f>
        <v>0</v>
      </c>
      <c r="F64" s="170">
        <f ca="1">IF('Kat. I'!$H188="","",'Kat. I'!$I188)</f>
        <v>0</v>
      </c>
      <c r="G64" s="170">
        <f ca="1">IF('Kat. I'!$H248="","",'Kat. I'!$I248)</f>
        <v>0</v>
      </c>
      <c r="H64" s="170">
        <f ca="1">IF('Kat. I'!$H308="","",'Kat. I'!$I308)</f>
        <v>0</v>
      </c>
      <c r="I64" s="170">
        <f ca="1">IF('Kat. I'!$H368="","",'Kat. I'!$I368)</f>
        <v>0</v>
      </c>
      <c r="J64" s="170">
        <f ca="1">IF('Kat. I'!$H428="","",'Kat. I'!$I428)</f>
        <v>0</v>
      </c>
      <c r="K64" s="170">
        <f ca="1">IF('Kat. I'!$H488="","",'Kat. I'!$I488)</f>
        <v>0</v>
      </c>
      <c r="L64" s="170">
        <f ca="1">IF('Kat. I'!$H548="","",'Kat. I'!$I548)</f>
        <v>0</v>
      </c>
      <c r="M64" s="170">
        <f ca="1">IF('Kat. I'!$H608="","",'Kat. I'!$I608)</f>
        <v>0</v>
      </c>
      <c r="N64" s="170">
        <f ca="1">IF('Kat. I'!$H668="","",'Kat. I'!$I668)</f>
        <v>0</v>
      </c>
      <c r="O64" s="170">
        <f t="shared" ca="1" si="2"/>
        <v>0</v>
      </c>
    </row>
    <row r="65" spans="1:15" ht="9.9499999999999993" customHeight="1">
      <c r="A65" s="133">
        <f>IF('Kat. I'!F9="","",'Kat. I'!F9)</f>
        <v>202</v>
      </c>
      <c r="B65" s="134" t="str">
        <f>IF('Kat. I'!H9="","",'Kat. I'!H9)</f>
        <v>Werbeausgaben</v>
      </c>
      <c r="C65" s="170">
        <f ca="1">IF('Kat. I'!$H9="","",'Kat. I'!$I9)</f>
        <v>0</v>
      </c>
      <c r="D65" s="170">
        <f ca="1">IF('Kat. I'!$H69="","",'Kat. I'!$I69)</f>
        <v>0</v>
      </c>
      <c r="E65" s="170">
        <f ca="1">IF('Kat. I'!$H129="","",'Kat. I'!$I129)</f>
        <v>0</v>
      </c>
      <c r="F65" s="170">
        <f ca="1">IF('Kat. I'!$H189="","",'Kat. I'!$I189)</f>
        <v>0</v>
      </c>
      <c r="G65" s="170">
        <f ca="1">IF('Kat. I'!$H249="","",'Kat. I'!$I249)</f>
        <v>0</v>
      </c>
      <c r="H65" s="170">
        <f ca="1">IF('Kat. I'!$H309="","",'Kat. I'!$I309)</f>
        <v>0</v>
      </c>
      <c r="I65" s="170">
        <f ca="1">IF('Kat. I'!$H369="","",'Kat. I'!$I369)</f>
        <v>0</v>
      </c>
      <c r="J65" s="170">
        <f ca="1">IF('Kat. I'!$H429="","",'Kat. I'!$I429)</f>
        <v>0</v>
      </c>
      <c r="K65" s="170">
        <f ca="1">IF('Kat. I'!$H489="","",'Kat. I'!$I489)</f>
        <v>0</v>
      </c>
      <c r="L65" s="170">
        <f ca="1">IF('Kat. I'!$H549="","",'Kat. I'!$I549)</f>
        <v>0</v>
      </c>
      <c r="M65" s="170">
        <f ca="1">IF('Kat. I'!$H609="","",'Kat. I'!$I609)</f>
        <v>0</v>
      </c>
      <c r="N65" s="170">
        <f ca="1">IF('Kat. I'!$H669="","",'Kat. I'!$I669)</f>
        <v>0</v>
      </c>
      <c r="O65" s="170">
        <f t="shared" ca="1" si="2"/>
        <v>0</v>
      </c>
    </row>
    <row r="66" spans="1:15" ht="9.9499999999999993" customHeight="1">
      <c r="A66" s="133">
        <f>IF('Kat. I'!F10="","",'Kat. I'!F10)</f>
        <v>203</v>
      </c>
      <c r="B66" s="134" t="str">
        <f>IF('Kat. I'!H10="","",'Kat. I'!H10)</f>
        <v>Löhne</v>
      </c>
      <c r="C66" s="170">
        <f ca="1">IF('Kat. I'!$H10="","",'Kat. I'!$I10)</f>
        <v>0</v>
      </c>
      <c r="D66" s="170">
        <f ca="1">IF('Kat. I'!$H70="","",'Kat. I'!$I70)</f>
        <v>0</v>
      </c>
      <c r="E66" s="170">
        <f ca="1">IF('Kat. I'!$H130="","",'Kat. I'!$I130)</f>
        <v>0</v>
      </c>
      <c r="F66" s="170">
        <f ca="1">IF('Kat. I'!$H190="","",'Kat. I'!$I190)</f>
        <v>0</v>
      </c>
      <c r="G66" s="170">
        <f ca="1">IF('Kat. I'!$H250="","",'Kat. I'!$I250)</f>
        <v>0</v>
      </c>
      <c r="H66" s="170">
        <f ca="1">IF('Kat. I'!$H310="","",'Kat. I'!$I310)</f>
        <v>0</v>
      </c>
      <c r="I66" s="170">
        <f ca="1">IF('Kat. I'!$H370="","",'Kat. I'!$I370)</f>
        <v>0</v>
      </c>
      <c r="J66" s="170">
        <f ca="1">IF('Kat. I'!$H430="","",'Kat. I'!$I430)</f>
        <v>0</v>
      </c>
      <c r="K66" s="170">
        <f ca="1">IF('Kat. I'!$H490="","",'Kat. I'!$I490)</f>
        <v>0</v>
      </c>
      <c r="L66" s="170">
        <f ca="1">IF('Kat. I'!$H550="","",'Kat. I'!$I550)</f>
        <v>0</v>
      </c>
      <c r="M66" s="170">
        <f ca="1">IF('Kat. I'!$H610="","",'Kat. I'!$I610)</f>
        <v>0</v>
      </c>
      <c r="N66" s="170">
        <f ca="1">IF('Kat. I'!$H670="","",'Kat. I'!$I670)</f>
        <v>0</v>
      </c>
      <c r="O66" s="170">
        <f t="shared" ca="1" si="2"/>
        <v>0</v>
      </c>
    </row>
    <row r="67" spans="1:15" ht="9.9499999999999993" customHeight="1">
      <c r="A67" s="133">
        <f>IF('Kat. I'!F11="","",'Kat. I'!F11)</f>
        <v>204</v>
      </c>
      <c r="B67" s="134" t="str">
        <f>IF('Kat. I'!H11="","",'Kat. I'!H11)</f>
        <v/>
      </c>
      <c r="C67" s="170" t="str">
        <f>IF('Kat. I'!$H11="","",'Kat. I'!$I11)</f>
        <v/>
      </c>
      <c r="D67" s="170" t="str">
        <f>IF('Kat. I'!$H71="","",'Kat. I'!$I71)</f>
        <v/>
      </c>
      <c r="E67" s="170" t="str">
        <f>IF('Kat. I'!$H131="","",'Kat. I'!$I131)</f>
        <v/>
      </c>
      <c r="F67" s="170" t="str">
        <f>IF('Kat. I'!$H191="","",'Kat. I'!$I191)</f>
        <v/>
      </c>
      <c r="G67" s="170" t="str">
        <f>IF('Kat. I'!$H251="","",'Kat. I'!$I251)</f>
        <v/>
      </c>
      <c r="H67" s="170" t="str">
        <f>IF('Kat. I'!$H311="","",'Kat. I'!$I311)</f>
        <v/>
      </c>
      <c r="I67" s="170" t="str">
        <f>IF('Kat. I'!$H371="","",'Kat. I'!$I371)</f>
        <v/>
      </c>
      <c r="J67" s="170" t="str">
        <f>IF('Kat. I'!$H431="","",'Kat. I'!$I431)</f>
        <v/>
      </c>
      <c r="K67" s="170" t="str">
        <f>IF('Kat. I'!$H491="","",'Kat. I'!$I491)</f>
        <v/>
      </c>
      <c r="L67" s="170" t="str">
        <f>IF('Kat. I'!$H551="","",'Kat. I'!$I551)</f>
        <v/>
      </c>
      <c r="M67" s="170" t="str">
        <f>IF('Kat. I'!$H611="","",'Kat. I'!$I611)</f>
        <v/>
      </c>
      <c r="N67" s="170" t="str">
        <f>IF('Kat. I'!$H671="","",'Kat. I'!$I671)</f>
        <v/>
      </c>
      <c r="O67" s="170" t="str">
        <f t="shared" si="2"/>
        <v/>
      </c>
    </row>
    <row r="68" spans="1:15" ht="9.9499999999999993" customHeight="1">
      <c r="A68" s="133">
        <f>IF('Kat. I'!F12="","",'Kat. I'!F12)</f>
        <v>205</v>
      </c>
      <c r="B68" s="134" t="str">
        <f>IF('Kat. I'!H12="","",'Kat. I'!H12)</f>
        <v/>
      </c>
      <c r="C68" s="170" t="str">
        <f>IF('Kat. I'!$H12="","",'Kat. I'!$I12)</f>
        <v/>
      </c>
      <c r="D68" s="170" t="str">
        <f>IF('Kat. I'!$H72="","",'Kat. I'!$I72)</f>
        <v/>
      </c>
      <c r="E68" s="170" t="str">
        <f>IF('Kat. I'!$H132="","",'Kat. I'!$I132)</f>
        <v/>
      </c>
      <c r="F68" s="170" t="str">
        <f>IF('Kat. I'!$H192="","",'Kat. I'!$I192)</f>
        <v/>
      </c>
      <c r="G68" s="170" t="str">
        <f>IF('Kat. I'!$H252="","",'Kat. I'!$I252)</f>
        <v/>
      </c>
      <c r="H68" s="170" t="str">
        <f>IF('Kat. I'!$H312="","",'Kat. I'!$I312)</f>
        <v/>
      </c>
      <c r="I68" s="170" t="str">
        <f>IF('Kat. I'!$H372="","",'Kat. I'!$I372)</f>
        <v/>
      </c>
      <c r="J68" s="170" t="str">
        <f>IF('Kat. I'!$H432="","",'Kat. I'!$I432)</f>
        <v/>
      </c>
      <c r="K68" s="170" t="str">
        <f>IF('Kat. I'!$H492="","",'Kat. I'!$I492)</f>
        <v/>
      </c>
      <c r="L68" s="170" t="str">
        <f>IF('Kat. I'!$H552="","",'Kat. I'!$I552)</f>
        <v/>
      </c>
      <c r="M68" s="170" t="str">
        <f>IF('Kat. I'!$H612="","",'Kat. I'!$I612)</f>
        <v/>
      </c>
      <c r="N68" s="170" t="str">
        <f>IF('Kat. I'!$H672="","",'Kat. I'!$I672)</f>
        <v/>
      </c>
      <c r="O68" s="170" t="str">
        <f t="shared" si="2"/>
        <v/>
      </c>
    </row>
    <row r="69" spans="1:15" ht="9.9499999999999993" customHeight="1">
      <c r="A69" s="133">
        <f>IF('Kat. I'!F13="","",'Kat. I'!F13)</f>
        <v>206</v>
      </c>
      <c r="B69" s="134" t="str">
        <f>IF('Kat. I'!H13="","",'Kat. I'!H13)</f>
        <v/>
      </c>
      <c r="C69" s="170" t="str">
        <f>IF('Kat. I'!$H13="","",'Kat. I'!$I13)</f>
        <v/>
      </c>
      <c r="D69" s="170" t="str">
        <f>IF('Kat. I'!$H73="","",'Kat. I'!$I73)</f>
        <v/>
      </c>
      <c r="E69" s="170" t="str">
        <f>IF('Kat. I'!$H133="","",'Kat. I'!$I133)</f>
        <v/>
      </c>
      <c r="F69" s="170" t="str">
        <f>IF('Kat. I'!$H193="","",'Kat. I'!$I193)</f>
        <v/>
      </c>
      <c r="G69" s="170" t="str">
        <f>IF('Kat. I'!$H253="","",'Kat. I'!$I253)</f>
        <v/>
      </c>
      <c r="H69" s="170" t="str">
        <f>IF('Kat. I'!$H313="","",'Kat. I'!$I313)</f>
        <v/>
      </c>
      <c r="I69" s="170" t="str">
        <f>IF('Kat. I'!$H373="","",'Kat. I'!$I373)</f>
        <v/>
      </c>
      <c r="J69" s="170" t="str">
        <f>IF('Kat. I'!$H433="","",'Kat. I'!$I433)</f>
        <v/>
      </c>
      <c r="K69" s="170" t="str">
        <f>IF('Kat. I'!$H493="","",'Kat. I'!$I493)</f>
        <v/>
      </c>
      <c r="L69" s="170" t="str">
        <f>IF('Kat. I'!$H553="","",'Kat. I'!$I553)</f>
        <v/>
      </c>
      <c r="M69" s="170" t="str">
        <f>IF('Kat. I'!$H613="","",'Kat. I'!$I613)</f>
        <v/>
      </c>
      <c r="N69" s="170" t="str">
        <f>IF('Kat. I'!$H673="","",'Kat. I'!$I673)</f>
        <v/>
      </c>
      <c r="O69" s="170" t="str">
        <f t="shared" si="2"/>
        <v/>
      </c>
    </row>
    <row r="70" spans="1:15" ht="9.9499999999999993" customHeight="1">
      <c r="A70" s="133">
        <f>IF('Kat. I'!F14="","",'Kat. I'!F14)</f>
        <v>207</v>
      </c>
      <c r="B70" s="134" t="str">
        <f>IF('Kat. I'!H14="","",'Kat. I'!H14)</f>
        <v/>
      </c>
      <c r="C70" s="170" t="str">
        <f>IF('Kat. I'!$H14="","",'Kat. I'!$I14)</f>
        <v/>
      </c>
      <c r="D70" s="170" t="str">
        <f>IF('Kat. I'!$H74="","",'Kat. I'!$I74)</f>
        <v/>
      </c>
      <c r="E70" s="170" t="str">
        <f>IF('Kat. I'!$H134="","",'Kat. I'!$I134)</f>
        <v/>
      </c>
      <c r="F70" s="170" t="str">
        <f>IF('Kat. I'!$H194="","",'Kat. I'!$I194)</f>
        <v/>
      </c>
      <c r="G70" s="170" t="str">
        <f>IF('Kat. I'!$H254="","",'Kat. I'!$I254)</f>
        <v/>
      </c>
      <c r="H70" s="170" t="str">
        <f>IF('Kat. I'!$H314="","",'Kat. I'!$I314)</f>
        <v/>
      </c>
      <c r="I70" s="170" t="str">
        <f>IF('Kat. I'!$H374="","",'Kat. I'!$I374)</f>
        <v/>
      </c>
      <c r="J70" s="170" t="str">
        <f>IF('Kat. I'!$H434="","",'Kat. I'!$I434)</f>
        <v/>
      </c>
      <c r="K70" s="170" t="str">
        <f>IF('Kat. I'!$H494="","",'Kat. I'!$I494)</f>
        <v/>
      </c>
      <c r="L70" s="170" t="str">
        <f>IF('Kat. I'!$H554="","",'Kat. I'!$I554)</f>
        <v/>
      </c>
      <c r="M70" s="170" t="str">
        <f>IF('Kat. I'!$H614="","",'Kat. I'!$I614)</f>
        <v/>
      </c>
      <c r="N70" s="170" t="str">
        <f>IF('Kat. I'!$H674="","",'Kat. I'!$I674)</f>
        <v/>
      </c>
      <c r="O70" s="170" t="str">
        <f t="shared" si="2"/>
        <v/>
      </c>
    </row>
    <row r="71" spans="1:15" ht="9.9499999999999993" customHeight="1">
      <c r="A71" s="133">
        <f>IF('Kat. I'!F15="","",'Kat. I'!F15)</f>
        <v>208</v>
      </c>
      <c r="B71" s="134" t="str">
        <f>IF('Kat. I'!H15="","",'Kat. I'!H15)</f>
        <v/>
      </c>
      <c r="C71" s="170" t="str">
        <f>IF('Kat. I'!$H15="","",'Kat. I'!$I15)</f>
        <v/>
      </c>
      <c r="D71" s="170" t="str">
        <f>IF('Kat. I'!$H75="","",'Kat. I'!$I75)</f>
        <v/>
      </c>
      <c r="E71" s="170" t="str">
        <f>IF('Kat. I'!$H135="","",'Kat. I'!$I135)</f>
        <v/>
      </c>
      <c r="F71" s="170" t="str">
        <f>IF('Kat. I'!$H195="","",'Kat. I'!$I195)</f>
        <v/>
      </c>
      <c r="G71" s="170" t="str">
        <f>IF('Kat. I'!$H255="","",'Kat. I'!$I255)</f>
        <v/>
      </c>
      <c r="H71" s="170" t="str">
        <f>IF('Kat. I'!$H315="","",'Kat. I'!$I315)</f>
        <v/>
      </c>
      <c r="I71" s="170" t="str">
        <f>IF('Kat. I'!$H375="","",'Kat. I'!$I375)</f>
        <v/>
      </c>
      <c r="J71" s="170" t="str">
        <f>IF('Kat. I'!$H435="","",'Kat. I'!$I435)</f>
        <v/>
      </c>
      <c r="K71" s="170" t="str">
        <f>IF('Kat. I'!$H495="","",'Kat. I'!$I495)</f>
        <v/>
      </c>
      <c r="L71" s="170" t="str">
        <f>IF('Kat. I'!$H555="","",'Kat. I'!$I555)</f>
        <v/>
      </c>
      <c r="M71" s="170" t="str">
        <f>IF('Kat. I'!$H615="","",'Kat. I'!$I615)</f>
        <v/>
      </c>
      <c r="N71" s="170" t="str">
        <f>IF('Kat. I'!$H675="","",'Kat. I'!$I675)</f>
        <v/>
      </c>
      <c r="O71" s="170" t="str">
        <f t="shared" si="2"/>
        <v/>
      </c>
    </row>
    <row r="72" spans="1:15" ht="9.9499999999999993" customHeight="1">
      <c r="A72" s="133">
        <f>IF('Kat. I'!F16="","",'Kat. I'!F16)</f>
        <v>209</v>
      </c>
      <c r="B72" s="134" t="str">
        <f>IF('Kat. I'!H16="","",'Kat. I'!H16)</f>
        <v/>
      </c>
      <c r="C72" s="170" t="str">
        <f>IF('Kat. I'!$H16="","",'Kat. I'!$I16)</f>
        <v/>
      </c>
      <c r="D72" s="170" t="str">
        <f>IF('Kat. I'!$H76="","",'Kat. I'!$I76)</f>
        <v/>
      </c>
      <c r="E72" s="170" t="str">
        <f>IF('Kat. I'!$H136="","",'Kat. I'!$I136)</f>
        <v/>
      </c>
      <c r="F72" s="170" t="str">
        <f>IF('Kat. I'!$H196="","",'Kat. I'!$I196)</f>
        <v/>
      </c>
      <c r="G72" s="170" t="str">
        <f>IF('Kat. I'!$H256="","",'Kat. I'!$I256)</f>
        <v/>
      </c>
      <c r="H72" s="170" t="str">
        <f>IF('Kat. I'!$H316="","",'Kat. I'!$I316)</f>
        <v/>
      </c>
      <c r="I72" s="170" t="str">
        <f>IF('Kat. I'!$H376="","",'Kat. I'!$I376)</f>
        <v/>
      </c>
      <c r="J72" s="170" t="str">
        <f>IF('Kat. I'!$H436="","",'Kat. I'!$I436)</f>
        <v/>
      </c>
      <c r="K72" s="170" t="str">
        <f>IF('Kat. I'!$H496="","",'Kat. I'!$I496)</f>
        <v/>
      </c>
      <c r="L72" s="170" t="str">
        <f>IF('Kat. I'!$H556="","",'Kat. I'!$I556)</f>
        <v/>
      </c>
      <c r="M72" s="170" t="str">
        <f>IF('Kat. I'!$H616="","",'Kat. I'!$I616)</f>
        <v/>
      </c>
      <c r="N72" s="170" t="str">
        <f>IF('Kat. I'!$H676="","",'Kat. I'!$I676)</f>
        <v/>
      </c>
      <c r="O72" s="170" t="str">
        <f t="shared" si="2"/>
        <v/>
      </c>
    </row>
    <row r="73" spans="1:15" ht="9.9499999999999993" customHeight="1">
      <c r="A73" s="133">
        <f>IF('Kat. I'!F17="","",'Kat. I'!F17)</f>
        <v>210</v>
      </c>
      <c r="B73" s="134" t="str">
        <f>IF('Kat. I'!H17="","",'Kat. I'!H17)</f>
        <v/>
      </c>
      <c r="C73" s="170" t="str">
        <f>IF('Kat. I'!$H17="","",'Kat. I'!$I17)</f>
        <v/>
      </c>
      <c r="D73" s="170" t="str">
        <f>IF('Kat. I'!$H77="","",'Kat. I'!$I77)</f>
        <v/>
      </c>
      <c r="E73" s="170" t="str">
        <f>IF('Kat. I'!$H137="","",'Kat. I'!$I137)</f>
        <v/>
      </c>
      <c r="F73" s="170" t="str">
        <f>IF('Kat. I'!$H197="","",'Kat. I'!$I197)</f>
        <v/>
      </c>
      <c r="G73" s="170" t="str">
        <f>IF('Kat. I'!$H257="","",'Kat. I'!$I257)</f>
        <v/>
      </c>
      <c r="H73" s="170" t="str">
        <f>IF('Kat. I'!$H317="","",'Kat. I'!$I317)</f>
        <v/>
      </c>
      <c r="I73" s="170" t="str">
        <f>IF('Kat. I'!$H377="","",'Kat. I'!$I377)</f>
        <v/>
      </c>
      <c r="J73" s="170" t="str">
        <f>IF('Kat. I'!$H437="","",'Kat. I'!$I437)</f>
        <v/>
      </c>
      <c r="K73" s="170" t="str">
        <f>IF('Kat. I'!$H497="","",'Kat. I'!$I497)</f>
        <v/>
      </c>
      <c r="L73" s="170" t="str">
        <f>IF('Kat. I'!$H557="","",'Kat. I'!$I557)</f>
        <v/>
      </c>
      <c r="M73" s="170" t="str">
        <f>IF('Kat. I'!$H617="","",'Kat. I'!$I617)</f>
        <v/>
      </c>
      <c r="N73" s="170" t="str">
        <f>IF('Kat. I'!$H677="","",'Kat. I'!$I677)</f>
        <v/>
      </c>
      <c r="O73" s="170" t="str">
        <f t="shared" si="2"/>
        <v/>
      </c>
    </row>
    <row r="74" spans="1:15" ht="9.9499999999999993" customHeight="1">
      <c r="A74" s="133">
        <f>IF('Kat. I'!F18="","",'Kat. I'!F18)</f>
        <v>211</v>
      </c>
      <c r="B74" s="134" t="str">
        <f>IF('Kat. I'!H18="","",'Kat. I'!H18)</f>
        <v/>
      </c>
      <c r="C74" s="170" t="str">
        <f>IF('Kat. I'!$H18="","",'Kat. I'!$I18)</f>
        <v/>
      </c>
      <c r="D74" s="170" t="str">
        <f>IF('Kat. I'!$H78="","",'Kat. I'!$I78)</f>
        <v/>
      </c>
      <c r="E74" s="170" t="str">
        <f>IF('Kat. I'!$H138="","",'Kat. I'!$I138)</f>
        <v/>
      </c>
      <c r="F74" s="170" t="str">
        <f>IF('Kat. I'!$H198="","",'Kat. I'!$I198)</f>
        <v/>
      </c>
      <c r="G74" s="170" t="str">
        <f>IF('Kat. I'!$H258="","",'Kat. I'!$I258)</f>
        <v/>
      </c>
      <c r="H74" s="170" t="str">
        <f>IF('Kat. I'!$H318="","",'Kat. I'!$I318)</f>
        <v/>
      </c>
      <c r="I74" s="170" t="str">
        <f>IF('Kat. I'!$H378="","",'Kat. I'!$I378)</f>
        <v/>
      </c>
      <c r="J74" s="170" t="str">
        <f>IF('Kat. I'!$H438="","",'Kat. I'!$I438)</f>
        <v/>
      </c>
      <c r="K74" s="170" t="str">
        <f>IF('Kat. I'!$H498="","",'Kat. I'!$I498)</f>
        <v/>
      </c>
      <c r="L74" s="170" t="str">
        <f>IF('Kat. I'!$H558="","",'Kat. I'!$I558)</f>
        <v/>
      </c>
      <c r="M74" s="170" t="str">
        <f>IF('Kat. I'!$H618="","",'Kat. I'!$I618)</f>
        <v/>
      </c>
      <c r="N74" s="170" t="str">
        <f>IF('Kat. I'!$H678="","",'Kat. I'!$I678)</f>
        <v/>
      </c>
      <c r="O74" s="170" t="str">
        <f t="shared" si="2"/>
        <v/>
      </c>
    </row>
    <row r="75" spans="1:15" ht="9.9499999999999993" customHeight="1">
      <c r="A75" s="133">
        <f>IF('Kat. I'!F19="","",'Kat. I'!F19)</f>
        <v>212</v>
      </c>
      <c r="B75" s="134" t="str">
        <f>IF('Kat. I'!H19="","",'Kat. I'!H19)</f>
        <v/>
      </c>
      <c r="C75" s="170" t="str">
        <f>IF('Kat. I'!$H19="","",'Kat. I'!$I19)</f>
        <v/>
      </c>
      <c r="D75" s="170" t="str">
        <f>IF('Kat. I'!$H79="","",'Kat. I'!$I79)</f>
        <v/>
      </c>
      <c r="E75" s="170" t="str">
        <f>IF('Kat. I'!$H139="","",'Kat. I'!$I139)</f>
        <v/>
      </c>
      <c r="F75" s="170" t="str">
        <f>IF('Kat. I'!$H199="","",'Kat. I'!$I199)</f>
        <v/>
      </c>
      <c r="G75" s="170" t="str">
        <f>IF('Kat. I'!$H259="","",'Kat. I'!$I259)</f>
        <v/>
      </c>
      <c r="H75" s="170" t="str">
        <f>IF('Kat. I'!$H319="","",'Kat. I'!$I319)</f>
        <v/>
      </c>
      <c r="I75" s="170" t="str">
        <f>IF('Kat. I'!$H379="","",'Kat. I'!$I379)</f>
        <v/>
      </c>
      <c r="J75" s="170" t="str">
        <f>IF('Kat. I'!$H439="","",'Kat. I'!$I439)</f>
        <v/>
      </c>
      <c r="K75" s="170" t="str">
        <f>IF('Kat. I'!$H499="","",'Kat. I'!$I499)</f>
        <v/>
      </c>
      <c r="L75" s="170" t="str">
        <f>IF('Kat. I'!$H559="","",'Kat. I'!$I559)</f>
        <v/>
      </c>
      <c r="M75" s="170" t="str">
        <f>IF('Kat. I'!$H619="","",'Kat. I'!$I619)</f>
        <v/>
      </c>
      <c r="N75" s="170" t="str">
        <f>IF('Kat. I'!$H679="","",'Kat. I'!$I679)</f>
        <v/>
      </c>
      <c r="O75" s="170" t="str">
        <f t="shared" si="2"/>
        <v/>
      </c>
    </row>
    <row r="76" spans="1:15" ht="9.9499999999999993" customHeight="1">
      <c r="A76" s="133">
        <f>IF('Kat. I'!F20="","",'Kat. I'!F20)</f>
        <v>213</v>
      </c>
      <c r="B76" s="134" t="str">
        <f>IF('Kat. I'!H20="","",'Kat. I'!H20)</f>
        <v/>
      </c>
      <c r="C76" s="170" t="str">
        <f>IF('Kat. I'!$H20="","",'Kat. I'!$I20)</f>
        <v/>
      </c>
      <c r="D76" s="170" t="str">
        <f>IF('Kat. I'!$H80="","",'Kat. I'!$I80)</f>
        <v/>
      </c>
      <c r="E76" s="170" t="str">
        <f>IF('Kat. I'!$H140="","",'Kat. I'!$I140)</f>
        <v/>
      </c>
      <c r="F76" s="170" t="str">
        <f>IF('Kat. I'!$H200="","",'Kat. I'!$I200)</f>
        <v/>
      </c>
      <c r="G76" s="170" t="str">
        <f>IF('Kat. I'!$H260="","",'Kat. I'!$I260)</f>
        <v/>
      </c>
      <c r="H76" s="170" t="str">
        <f>IF('Kat. I'!$H320="","",'Kat. I'!$I320)</f>
        <v/>
      </c>
      <c r="I76" s="170" t="str">
        <f>IF('Kat. I'!$H380="","",'Kat. I'!$I380)</f>
        <v/>
      </c>
      <c r="J76" s="170" t="str">
        <f>IF('Kat. I'!$H440="","",'Kat. I'!$I440)</f>
        <v/>
      </c>
      <c r="K76" s="170" t="str">
        <f>IF('Kat. I'!$H500="","",'Kat. I'!$I500)</f>
        <v/>
      </c>
      <c r="L76" s="170" t="str">
        <f>IF('Kat. I'!$H560="","",'Kat. I'!$I560)</f>
        <v/>
      </c>
      <c r="M76" s="170" t="str">
        <f>IF('Kat. I'!$H620="","",'Kat. I'!$I620)</f>
        <v/>
      </c>
      <c r="N76" s="170" t="str">
        <f>IF('Kat. I'!$H680="","",'Kat. I'!$I680)</f>
        <v/>
      </c>
      <c r="O76" s="170" t="str">
        <f t="shared" si="2"/>
        <v/>
      </c>
    </row>
    <row r="77" spans="1:15" ht="9.9499999999999993" customHeight="1">
      <c r="A77" s="133">
        <f>IF('Kat. I'!F21="","",'Kat. I'!F21)</f>
        <v>214</v>
      </c>
      <c r="B77" s="134" t="str">
        <f>IF('Kat. I'!H21="","",'Kat. I'!H21)</f>
        <v/>
      </c>
      <c r="C77" s="170" t="str">
        <f>IF('Kat. I'!$H21="","",'Kat. I'!$I21)</f>
        <v/>
      </c>
      <c r="D77" s="170" t="str">
        <f>IF('Kat. I'!$H81="","",'Kat. I'!$I81)</f>
        <v/>
      </c>
      <c r="E77" s="170" t="str">
        <f>IF('Kat. I'!$H141="","",'Kat. I'!$I141)</f>
        <v/>
      </c>
      <c r="F77" s="170" t="str">
        <f>IF('Kat. I'!$H201="","",'Kat. I'!$I201)</f>
        <v/>
      </c>
      <c r="G77" s="170" t="str">
        <f>IF('Kat. I'!$H261="","",'Kat. I'!$I261)</f>
        <v/>
      </c>
      <c r="H77" s="170" t="str">
        <f>IF('Kat. I'!$H321="","",'Kat. I'!$I321)</f>
        <v/>
      </c>
      <c r="I77" s="170" t="str">
        <f>IF('Kat. I'!$H381="","",'Kat. I'!$I381)</f>
        <v/>
      </c>
      <c r="J77" s="170" t="str">
        <f>IF('Kat. I'!$H441="","",'Kat. I'!$I441)</f>
        <v/>
      </c>
      <c r="K77" s="170" t="str">
        <f>IF('Kat. I'!$H501="","",'Kat. I'!$I501)</f>
        <v/>
      </c>
      <c r="L77" s="170" t="str">
        <f>IF('Kat. I'!$H561="","",'Kat. I'!$I561)</f>
        <v/>
      </c>
      <c r="M77" s="170" t="str">
        <f>IF('Kat. I'!$H621="","",'Kat. I'!$I621)</f>
        <v/>
      </c>
      <c r="N77" s="170" t="str">
        <f>IF('Kat. I'!$H681="","",'Kat. I'!$I681)</f>
        <v/>
      </c>
      <c r="O77" s="170" t="str">
        <f t="shared" si="2"/>
        <v/>
      </c>
    </row>
    <row r="78" spans="1:15" ht="9.9499999999999993" customHeight="1">
      <c r="A78" s="133">
        <f>IF('Kat. I'!F22="","",'Kat. I'!F22)</f>
        <v>215</v>
      </c>
      <c r="B78" s="134" t="str">
        <f>IF('Kat. I'!H22="","",'Kat. I'!H22)</f>
        <v/>
      </c>
      <c r="C78" s="170" t="str">
        <f>IF('Kat. I'!$H22="","",'Kat. I'!$I22)</f>
        <v/>
      </c>
      <c r="D78" s="170" t="str">
        <f>IF('Kat. I'!$H82="","",'Kat. I'!$I82)</f>
        <v/>
      </c>
      <c r="E78" s="170" t="str">
        <f>IF('Kat. I'!$H142="","",'Kat. I'!$I142)</f>
        <v/>
      </c>
      <c r="F78" s="170" t="str">
        <f>IF('Kat. I'!$H202="","",'Kat. I'!$I202)</f>
        <v/>
      </c>
      <c r="G78" s="170" t="str">
        <f>IF('Kat. I'!$H262="","",'Kat. I'!$I262)</f>
        <v/>
      </c>
      <c r="H78" s="170" t="str">
        <f>IF('Kat. I'!$H322="","",'Kat. I'!$I322)</f>
        <v/>
      </c>
      <c r="I78" s="170" t="str">
        <f>IF('Kat. I'!$H382="","",'Kat. I'!$I382)</f>
        <v/>
      </c>
      <c r="J78" s="170" t="str">
        <f>IF('Kat. I'!$H442="","",'Kat. I'!$I442)</f>
        <v/>
      </c>
      <c r="K78" s="170" t="str">
        <f>IF('Kat. I'!$H502="","",'Kat. I'!$I502)</f>
        <v/>
      </c>
      <c r="L78" s="170" t="str">
        <f>IF('Kat. I'!$H562="","",'Kat. I'!$I562)</f>
        <v/>
      </c>
      <c r="M78" s="170" t="str">
        <f>IF('Kat. I'!$H622="","",'Kat. I'!$I622)</f>
        <v/>
      </c>
      <c r="N78" s="170" t="str">
        <f>IF('Kat. I'!$H682="","",'Kat. I'!$I682)</f>
        <v/>
      </c>
      <c r="O78" s="170" t="str">
        <f t="shared" si="2"/>
        <v/>
      </c>
    </row>
    <row r="79" spans="1:15" ht="9.9499999999999993" customHeight="1">
      <c r="A79" s="133">
        <f>IF('Kat. I'!F23="","",'Kat. I'!F23)</f>
        <v>216</v>
      </c>
      <c r="B79" s="134" t="str">
        <f>IF('Kat. I'!H23="","",'Kat. I'!H23)</f>
        <v/>
      </c>
      <c r="C79" s="170" t="str">
        <f>IF('Kat. I'!$H23="","",'Kat. I'!$I23)</f>
        <v/>
      </c>
      <c r="D79" s="170" t="str">
        <f>IF('Kat. I'!$H83="","",'Kat. I'!$I83)</f>
        <v/>
      </c>
      <c r="E79" s="170" t="str">
        <f>IF('Kat. I'!$H143="","",'Kat. I'!$I143)</f>
        <v/>
      </c>
      <c r="F79" s="170" t="str">
        <f>IF('Kat. I'!$H203="","",'Kat. I'!$I203)</f>
        <v/>
      </c>
      <c r="G79" s="170" t="str">
        <f>IF('Kat. I'!$H263="","",'Kat. I'!$I263)</f>
        <v/>
      </c>
      <c r="H79" s="170" t="str">
        <f>IF('Kat. I'!$H323="","",'Kat. I'!$I323)</f>
        <v/>
      </c>
      <c r="I79" s="170" t="str">
        <f>IF('Kat. I'!$H383="","",'Kat. I'!$I383)</f>
        <v/>
      </c>
      <c r="J79" s="170" t="str">
        <f>IF('Kat. I'!$H443="","",'Kat. I'!$I443)</f>
        <v/>
      </c>
      <c r="K79" s="170" t="str">
        <f>IF('Kat. I'!$H503="","",'Kat. I'!$I503)</f>
        <v/>
      </c>
      <c r="L79" s="170" t="str">
        <f>IF('Kat. I'!$H563="","",'Kat. I'!$I563)</f>
        <v/>
      </c>
      <c r="M79" s="170" t="str">
        <f>IF('Kat. I'!$H623="","",'Kat. I'!$I623)</f>
        <v/>
      </c>
      <c r="N79" s="170" t="str">
        <f>IF('Kat. I'!$H683="","",'Kat. I'!$I683)</f>
        <v/>
      </c>
      <c r="O79" s="170" t="str">
        <f t="shared" si="2"/>
        <v/>
      </c>
    </row>
    <row r="80" spans="1:15" ht="9.9499999999999993" customHeight="1">
      <c r="A80" s="133">
        <f>IF('Kat. I'!F24="","",'Kat. I'!F24)</f>
        <v>217</v>
      </c>
      <c r="B80" s="134" t="str">
        <f>IF('Kat. I'!H24="","",'Kat. I'!H24)</f>
        <v/>
      </c>
      <c r="C80" s="170" t="str">
        <f>IF('Kat. I'!$H24="","",'Kat. I'!$I24)</f>
        <v/>
      </c>
      <c r="D80" s="170" t="str">
        <f>IF('Kat. I'!$H84="","",'Kat. I'!$I84)</f>
        <v/>
      </c>
      <c r="E80" s="170" t="str">
        <f>IF('Kat. I'!$H144="","",'Kat. I'!$I144)</f>
        <v/>
      </c>
      <c r="F80" s="170" t="str">
        <f>IF('Kat. I'!$H204="","",'Kat. I'!$I204)</f>
        <v/>
      </c>
      <c r="G80" s="170" t="str">
        <f>IF('Kat. I'!$H264="","",'Kat. I'!$I264)</f>
        <v/>
      </c>
      <c r="H80" s="170" t="str">
        <f>IF('Kat. I'!$H324="","",'Kat. I'!$I324)</f>
        <v/>
      </c>
      <c r="I80" s="170" t="str">
        <f>IF('Kat. I'!$H384="","",'Kat. I'!$I384)</f>
        <v/>
      </c>
      <c r="J80" s="170" t="str">
        <f>IF('Kat. I'!$H444="","",'Kat. I'!$I444)</f>
        <v/>
      </c>
      <c r="K80" s="170" t="str">
        <f>IF('Kat. I'!$H504="","",'Kat. I'!$I504)</f>
        <v/>
      </c>
      <c r="L80" s="170" t="str">
        <f>IF('Kat. I'!$H564="","",'Kat. I'!$I564)</f>
        <v/>
      </c>
      <c r="M80" s="170" t="str">
        <f>IF('Kat. I'!$H624="","",'Kat. I'!$I624)</f>
        <v/>
      </c>
      <c r="N80" s="170" t="str">
        <f>IF('Kat. I'!$H684="","",'Kat. I'!$I684)</f>
        <v/>
      </c>
      <c r="O80" s="170" t="str">
        <f t="shared" si="2"/>
        <v/>
      </c>
    </row>
    <row r="81" spans="1:15" ht="9.9499999999999993" customHeight="1">
      <c r="A81" s="133">
        <f>IF('Kat. I'!F25="","",'Kat. I'!F25)</f>
        <v>218</v>
      </c>
      <c r="B81" s="134" t="str">
        <f>IF('Kat. I'!H25="","",'Kat. I'!H25)</f>
        <v/>
      </c>
      <c r="C81" s="170" t="str">
        <f>IF('Kat. I'!$H25="","",'Kat. I'!$I25)</f>
        <v/>
      </c>
      <c r="D81" s="170" t="str">
        <f>IF('Kat. I'!$H85="","",'Kat. I'!$I85)</f>
        <v/>
      </c>
      <c r="E81" s="170" t="str">
        <f>IF('Kat. I'!$H145="","",'Kat. I'!$I145)</f>
        <v/>
      </c>
      <c r="F81" s="170" t="str">
        <f>IF('Kat. I'!$H205="","",'Kat. I'!$I205)</f>
        <v/>
      </c>
      <c r="G81" s="170" t="str">
        <f>IF('Kat. I'!$H265="","",'Kat. I'!$I265)</f>
        <v/>
      </c>
      <c r="H81" s="170" t="str">
        <f>IF('Kat. I'!$H325="","",'Kat. I'!$I325)</f>
        <v/>
      </c>
      <c r="I81" s="170" t="str">
        <f>IF('Kat. I'!$H385="","",'Kat. I'!$I385)</f>
        <v/>
      </c>
      <c r="J81" s="170" t="str">
        <f>IF('Kat. I'!$H445="","",'Kat. I'!$I445)</f>
        <v/>
      </c>
      <c r="K81" s="170" t="str">
        <f>IF('Kat. I'!$H505="","",'Kat. I'!$I505)</f>
        <v/>
      </c>
      <c r="L81" s="170" t="str">
        <f>IF('Kat. I'!$H565="","",'Kat. I'!$I565)</f>
        <v/>
      </c>
      <c r="M81" s="170" t="str">
        <f>IF('Kat. I'!$H625="","",'Kat. I'!$I625)</f>
        <v/>
      </c>
      <c r="N81" s="170" t="str">
        <f>IF('Kat. I'!$H685="","",'Kat. I'!$I685)</f>
        <v/>
      </c>
      <c r="O81" s="170" t="str">
        <f t="shared" si="2"/>
        <v/>
      </c>
    </row>
    <row r="82" spans="1:15" ht="9.9499999999999993" customHeight="1">
      <c r="A82" s="133">
        <f>IF('Kat. I'!F26="","",'Kat. I'!F26)</f>
        <v>219</v>
      </c>
      <c r="B82" s="134" t="str">
        <f>IF('Kat. I'!H26="","",'Kat. I'!H26)</f>
        <v/>
      </c>
      <c r="C82" s="170" t="str">
        <f>IF('Kat. I'!$H26="","",'Kat. I'!$I26)</f>
        <v/>
      </c>
      <c r="D82" s="170" t="str">
        <f>IF('Kat. I'!$H86="","",'Kat. I'!$I86)</f>
        <v/>
      </c>
      <c r="E82" s="170" t="str">
        <f>IF('Kat. I'!$H146="","",'Kat. I'!$I146)</f>
        <v/>
      </c>
      <c r="F82" s="170" t="str">
        <f>IF('Kat. I'!$H206="","",'Kat. I'!$I206)</f>
        <v/>
      </c>
      <c r="G82" s="170" t="str">
        <f>IF('Kat. I'!$H266="","",'Kat. I'!$I266)</f>
        <v/>
      </c>
      <c r="H82" s="170" t="str">
        <f>IF('Kat. I'!$H326="","",'Kat. I'!$I326)</f>
        <v/>
      </c>
      <c r="I82" s="170" t="str">
        <f>IF('Kat. I'!$H386="","",'Kat. I'!$I386)</f>
        <v/>
      </c>
      <c r="J82" s="170" t="str">
        <f>IF('Kat. I'!$H446="","",'Kat. I'!$I446)</f>
        <v/>
      </c>
      <c r="K82" s="170" t="str">
        <f>IF('Kat. I'!$H506="","",'Kat. I'!$I506)</f>
        <v/>
      </c>
      <c r="L82" s="170" t="str">
        <f>IF('Kat. I'!$H566="","",'Kat. I'!$I566)</f>
        <v/>
      </c>
      <c r="M82" s="170" t="str">
        <f>IF('Kat. I'!$H626="","",'Kat. I'!$I626)</f>
        <v/>
      </c>
      <c r="N82" s="170" t="str">
        <f>IF('Kat. I'!$H686="","",'Kat. I'!$I686)</f>
        <v/>
      </c>
      <c r="O82" s="170" t="str">
        <f t="shared" si="2"/>
        <v/>
      </c>
    </row>
    <row r="83" spans="1:15" ht="9.9499999999999993" customHeight="1">
      <c r="A83" s="133">
        <f>IF('Kat. I'!F27="","",'Kat. I'!F27)</f>
        <v>220</v>
      </c>
      <c r="B83" s="134" t="str">
        <f>IF('Kat. I'!H27="","",'Kat. I'!H27)</f>
        <v/>
      </c>
      <c r="C83" s="170" t="str">
        <f>IF('Kat. I'!$H27="","",'Kat. I'!$I27)</f>
        <v/>
      </c>
      <c r="D83" s="170" t="str">
        <f>IF('Kat. I'!$H87="","",'Kat. I'!$I87)</f>
        <v/>
      </c>
      <c r="E83" s="170" t="str">
        <f>IF('Kat. I'!$H147="","",'Kat. I'!$I147)</f>
        <v/>
      </c>
      <c r="F83" s="170" t="str">
        <f>IF('Kat. I'!$H207="","",'Kat. I'!$I207)</f>
        <v/>
      </c>
      <c r="G83" s="170" t="str">
        <f>IF('Kat. I'!$H267="","",'Kat. I'!$I267)</f>
        <v/>
      </c>
      <c r="H83" s="170" t="str">
        <f>IF('Kat. I'!$H327="","",'Kat. I'!$I327)</f>
        <v/>
      </c>
      <c r="I83" s="170" t="str">
        <f>IF('Kat. I'!$H387="","",'Kat. I'!$I387)</f>
        <v/>
      </c>
      <c r="J83" s="170" t="str">
        <f>IF('Kat. I'!$H447="","",'Kat. I'!$I447)</f>
        <v/>
      </c>
      <c r="K83" s="170" t="str">
        <f>IF('Kat. I'!$H507="","",'Kat. I'!$I507)</f>
        <v/>
      </c>
      <c r="L83" s="170" t="str">
        <f>IF('Kat. I'!$H567="","",'Kat. I'!$I567)</f>
        <v/>
      </c>
      <c r="M83" s="170" t="str">
        <f>IF('Kat. I'!$H627="","",'Kat. I'!$I627)</f>
        <v/>
      </c>
      <c r="N83" s="170" t="str">
        <f>IF('Kat. I'!$H687="","",'Kat. I'!$I687)</f>
        <v/>
      </c>
      <c r="O83" s="170" t="str">
        <f t="shared" si="2"/>
        <v/>
      </c>
    </row>
    <row r="84" spans="1:15" ht="9.9499999999999993" customHeight="1">
      <c r="A84" s="133">
        <f>IF('Kat. I'!F28="","",'Kat. I'!F28)</f>
        <v>221</v>
      </c>
      <c r="B84" s="134" t="str">
        <f>IF('Kat. I'!H28="","",'Kat. I'!H28)</f>
        <v/>
      </c>
      <c r="C84" s="170" t="str">
        <f>IF('Kat. I'!$H28="","",'Kat. I'!$I28)</f>
        <v/>
      </c>
      <c r="D84" s="170" t="str">
        <f>IF('Kat. I'!$H88="","",'Kat. I'!$I88)</f>
        <v/>
      </c>
      <c r="E84" s="170" t="str">
        <f>IF('Kat. I'!$H148="","",'Kat. I'!$I148)</f>
        <v/>
      </c>
      <c r="F84" s="170" t="str">
        <f>IF('Kat. I'!$H208="","",'Kat. I'!$I208)</f>
        <v/>
      </c>
      <c r="G84" s="170" t="str">
        <f>IF('Kat. I'!$H268="","",'Kat. I'!$I268)</f>
        <v/>
      </c>
      <c r="H84" s="170" t="str">
        <f>IF('Kat. I'!$H328="","",'Kat. I'!$I328)</f>
        <v/>
      </c>
      <c r="I84" s="170" t="str">
        <f>IF('Kat. I'!$H388="","",'Kat. I'!$I388)</f>
        <v/>
      </c>
      <c r="J84" s="170" t="str">
        <f>IF('Kat. I'!$H448="","",'Kat. I'!$I448)</f>
        <v/>
      </c>
      <c r="K84" s="170" t="str">
        <f>IF('Kat. I'!$H508="","",'Kat. I'!$I508)</f>
        <v/>
      </c>
      <c r="L84" s="170" t="str">
        <f>IF('Kat. I'!$H568="","",'Kat. I'!$I568)</f>
        <v/>
      </c>
      <c r="M84" s="170" t="str">
        <f>IF('Kat. I'!$H628="","",'Kat. I'!$I628)</f>
        <v/>
      </c>
      <c r="N84" s="170" t="str">
        <f>IF('Kat. I'!$H688="","",'Kat. I'!$I688)</f>
        <v/>
      </c>
      <c r="O84" s="170" t="str">
        <f t="shared" si="2"/>
        <v/>
      </c>
    </row>
    <row r="85" spans="1:15" ht="9.9499999999999993" customHeight="1">
      <c r="A85" s="133">
        <f>IF('Kat. I'!F29="","",'Kat. I'!F29)</f>
        <v>222</v>
      </c>
      <c r="B85" s="134" t="str">
        <f>IF('Kat. I'!H29="","",'Kat. I'!H29)</f>
        <v/>
      </c>
      <c r="C85" s="170" t="str">
        <f>IF('Kat. I'!$H29="","",'Kat. I'!$I29)</f>
        <v/>
      </c>
      <c r="D85" s="170" t="str">
        <f>IF('Kat. I'!$H89="","",'Kat. I'!$I89)</f>
        <v/>
      </c>
      <c r="E85" s="170" t="str">
        <f>IF('Kat. I'!$H149="","",'Kat. I'!$I149)</f>
        <v/>
      </c>
      <c r="F85" s="170" t="str">
        <f>IF('Kat. I'!$H209="","",'Kat. I'!$I209)</f>
        <v/>
      </c>
      <c r="G85" s="170" t="str">
        <f>IF('Kat. I'!$H269="","",'Kat. I'!$I269)</f>
        <v/>
      </c>
      <c r="H85" s="170" t="str">
        <f>IF('Kat. I'!$H329="","",'Kat. I'!$I329)</f>
        <v/>
      </c>
      <c r="I85" s="170" t="str">
        <f>IF('Kat. I'!$H389="","",'Kat. I'!$I389)</f>
        <v/>
      </c>
      <c r="J85" s="170" t="str">
        <f>IF('Kat. I'!$H449="","",'Kat. I'!$I449)</f>
        <v/>
      </c>
      <c r="K85" s="170" t="str">
        <f>IF('Kat. I'!$H509="","",'Kat. I'!$I509)</f>
        <v/>
      </c>
      <c r="L85" s="170" t="str">
        <f>IF('Kat. I'!$H569="","",'Kat. I'!$I569)</f>
        <v/>
      </c>
      <c r="M85" s="170" t="str">
        <f>IF('Kat. I'!$H629="","",'Kat. I'!$I629)</f>
        <v/>
      </c>
      <c r="N85" s="170" t="str">
        <f>IF('Kat. I'!$H689="","",'Kat. I'!$I689)</f>
        <v/>
      </c>
      <c r="O85" s="170" t="str">
        <f t="shared" si="2"/>
        <v/>
      </c>
    </row>
    <row r="86" spans="1:15" ht="9.9499999999999993" customHeight="1">
      <c r="A86" s="133">
        <f>IF('Kat. I'!F30="","",'Kat. I'!F30)</f>
        <v>223</v>
      </c>
      <c r="B86" s="134" t="str">
        <f>IF('Kat. I'!H30="","",'Kat. I'!H30)</f>
        <v/>
      </c>
      <c r="C86" s="170" t="str">
        <f>IF('Kat. I'!$H30="","",'Kat. I'!$I30)</f>
        <v/>
      </c>
      <c r="D86" s="170" t="str">
        <f>IF('Kat. I'!$H90="","",'Kat. I'!$I90)</f>
        <v/>
      </c>
      <c r="E86" s="170" t="str">
        <f>IF('Kat. I'!$H150="","",'Kat. I'!$I150)</f>
        <v/>
      </c>
      <c r="F86" s="170" t="str">
        <f>IF('Kat. I'!$H210="","",'Kat. I'!$I210)</f>
        <v/>
      </c>
      <c r="G86" s="170" t="str">
        <f>IF('Kat. I'!$H270="","",'Kat. I'!$I270)</f>
        <v/>
      </c>
      <c r="H86" s="170" t="str">
        <f>IF('Kat. I'!$H330="","",'Kat. I'!$I330)</f>
        <v/>
      </c>
      <c r="I86" s="170" t="str">
        <f>IF('Kat. I'!$H390="","",'Kat. I'!$I390)</f>
        <v/>
      </c>
      <c r="J86" s="170" t="str">
        <f>IF('Kat. I'!$H450="","",'Kat. I'!$I450)</f>
        <v/>
      </c>
      <c r="K86" s="170" t="str">
        <f>IF('Kat. I'!$H510="","",'Kat. I'!$I510)</f>
        <v/>
      </c>
      <c r="L86" s="170" t="str">
        <f>IF('Kat. I'!$H570="","",'Kat. I'!$I570)</f>
        <v/>
      </c>
      <c r="M86" s="170" t="str">
        <f>IF('Kat. I'!$H630="","",'Kat. I'!$I630)</f>
        <v/>
      </c>
      <c r="N86" s="170" t="str">
        <f>IF('Kat. I'!$H690="","",'Kat. I'!$I690)</f>
        <v/>
      </c>
      <c r="O86" s="170" t="str">
        <f t="shared" si="2"/>
        <v/>
      </c>
    </row>
    <row r="87" spans="1:15" ht="9.9499999999999993" customHeight="1">
      <c r="A87" s="133">
        <f>IF('Kat. I'!F31="","",'Kat. I'!F31)</f>
        <v>224</v>
      </c>
      <c r="B87" s="134" t="str">
        <f>IF('Kat. I'!H31="","",'Kat. I'!H31)</f>
        <v/>
      </c>
      <c r="C87" s="170" t="str">
        <f>IF('Kat. I'!$H31="","",'Kat. I'!$I31)</f>
        <v/>
      </c>
      <c r="D87" s="170" t="str">
        <f>IF('Kat. I'!$H91="","",'Kat. I'!$I91)</f>
        <v/>
      </c>
      <c r="E87" s="170" t="str">
        <f>IF('Kat. I'!$H151="","",'Kat. I'!$I151)</f>
        <v/>
      </c>
      <c r="F87" s="170" t="str">
        <f>IF('Kat. I'!$H211="","",'Kat. I'!$I211)</f>
        <v/>
      </c>
      <c r="G87" s="170" t="str">
        <f>IF('Kat. I'!$H271="","",'Kat. I'!$I271)</f>
        <v/>
      </c>
      <c r="H87" s="170" t="str">
        <f>IF('Kat. I'!$H331="","",'Kat. I'!$I331)</f>
        <v/>
      </c>
      <c r="I87" s="170" t="str">
        <f>IF('Kat. I'!$H391="","",'Kat. I'!$I391)</f>
        <v/>
      </c>
      <c r="J87" s="170" t="str">
        <f>IF('Kat. I'!$H451="","",'Kat. I'!$I451)</f>
        <v/>
      </c>
      <c r="K87" s="170" t="str">
        <f>IF('Kat. I'!$H511="","",'Kat. I'!$I511)</f>
        <v/>
      </c>
      <c r="L87" s="170" t="str">
        <f>IF('Kat. I'!$H571="","",'Kat. I'!$I571)</f>
        <v/>
      </c>
      <c r="M87" s="170" t="str">
        <f>IF('Kat. I'!$H631="","",'Kat. I'!$I631)</f>
        <v/>
      </c>
      <c r="N87" s="170" t="str">
        <f>IF('Kat. I'!$H691="","",'Kat. I'!$I691)</f>
        <v/>
      </c>
      <c r="O87" s="170" t="str">
        <f t="shared" si="2"/>
        <v/>
      </c>
    </row>
    <row r="88" spans="1:15" ht="9.9499999999999993" customHeight="1">
      <c r="A88" s="133">
        <f>IF('Kat. I'!F32="","",'Kat. I'!F32)</f>
        <v>225</v>
      </c>
      <c r="B88" s="134" t="str">
        <f>IF('Kat. I'!H32="","",'Kat. I'!H32)</f>
        <v>Nahrung, Kleider, Körperpflege</v>
      </c>
      <c r="C88" s="170">
        <f ca="1">IF('Kat. I'!$H32="","",'Kat. I'!$I32)</f>
        <v>0</v>
      </c>
      <c r="D88" s="170">
        <f ca="1">IF('Kat. I'!$H92="","",'Kat. I'!$I92)</f>
        <v>0</v>
      </c>
      <c r="E88" s="170">
        <f ca="1">IF('Kat. I'!$H152="","",'Kat. I'!$I152)</f>
        <v>0</v>
      </c>
      <c r="F88" s="170">
        <f ca="1">IF('Kat. I'!$H212="","",'Kat. I'!$I212)</f>
        <v>0</v>
      </c>
      <c r="G88" s="170">
        <f ca="1">IF('Kat. I'!$H272="","",'Kat. I'!$I272)</f>
        <v>0</v>
      </c>
      <c r="H88" s="170">
        <f ca="1">IF('Kat. I'!$H332="","",'Kat. I'!$I332)</f>
        <v>0</v>
      </c>
      <c r="I88" s="170">
        <f ca="1">IF('Kat. I'!$H392="","",'Kat. I'!$I392)</f>
        <v>0</v>
      </c>
      <c r="J88" s="170">
        <f ca="1">IF('Kat. I'!$H452="","",'Kat. I'!$I452)</f>
        <v>0</v>
      </c>
      <c r="K88" s="170">
        <f ca="1">IF('Kat. I'!$H512="","",'Kat. I'!$I512)</f>
        <v>0</v>
      </c>
      <c r="L88" s="170">
        <f ca="1">IF('Kat. I'!$H572="","",'Kat. I'!$I572)</f>
        <v>0</v>
      </c>
      <c r="M88" s="170">
        <f ca="1">IF('Kat. I'!$H632="","",'Kat. I'!$I632)</f>
        <v>0</v>
      </c>
      <c r="N88" s="170">
        <f ca="1">IF('Kat. I'!$H692="","",'Kat. I'!$I692)</f>
        <v>0</v>
      </c>
      <c r="O88" s="170">
        <f t="shared" ca="1" si="2"/>
        <v>0</v>
      </c>
    </row>
    <row r="89" spans="1:15" ht="9.9499999999999993" customHeight="1">
      <c r="A89" s="133">
        <f>IF('Kat. I'!F33="","",'Kat. I'!F33)</f>
        <v>226</v>
      </c>
      <c r="B89" s="134" t="str">
        <f>IF('Kat. I'!H33="","",'Kat. I'!H33)</f>
        <v>Autokosten</v>
      </c>
      <c r="C89" s="170">
        <f ca="1">IF('Kat. I'!$H33="","",'Kat. I'!$I33)</f>
        <v>0</v>
      </c>
      <c r="D89" s="170">
        <f ca="1">IF('Kat. I'!$H93="","",'Kat. I'!$I93)</f>
        <v>0</v>
      </c>
      <c r="E89" s="170">
        <f ca="1">IF('Kat. I'!$H153="","",'Kat. I'!$I153)</f>
        <v>0</v>
      </c>
      <c r="F89" s="170">
        <f ca="1">IF('Kat. I'!$H213="","",'Kat. I'!$I213)</f>
        <v>0</v>
      </c>
      <c r="G89" s="170">
        <f ca="1">IF('Kat. I'!$H273="","",'Kat. I'!$I273)</f>
        <v>0</v>
      </c>
      <c r="H89" s="170">
        <f ca="1">IF('Kat. I'!$H333="","",'Kat. I'!$I333)</f>
        <v>0</v>
      </c>
      <c r="I89" s="170">
        <f ca="1">IF('Kat. I'!$H393="","",'Kat. I'!$I393)</f>
        <v>0</v>
      </c>
      <c r="J89" s="170">
        <f ca="1">IF('Kat. I'!$H453="","",'Kat. I'!$I453)</f>
        <v>0</v>
      </c>
      <c r="K89" s="170">
        <f ca="1">IF('Kat. I'!$H513="","",'Kat. I'!$I513)</f>
        <v>0</v>
      </c>
      <c r="L89" s="170">
        <f ca="1">IF('Kat. I'!$H573="","",'Kat. I'!$I573)</f>
        <v>0</v>
      </c>
      <c r="M89" s="170">
        <f ca="1">IF('Kat. I'!$H633="","",'Kat. I'!$I633)</f>
        <v>0</v>
      </c>
      <c r="N89" s="170">
        <f ca="1">IF('Kat. I'!$H693="","",'Kat. I'!$I693)</f>
        <v>0</v>
      </c>
      <c r="O89" s="170">
        <f t="shared" ca="1" si="2"/>
        <v>0</v>
      </c>
    </row>
    <row r="90" spans="1:15" ht="9.9499999999999993" customHeight="1">
      <c r="A90" s="133">
        <f>IF('Kat. I'!F34="","",'Kat. I'!F34)</f>
        <v>227</v>
      </c>
      <c r="B90" s="134" t="str">
        <f>IF('Kat. I'!H34="","",'Kat. I'!H34)</f>
        <v>Gesundheit, Krankenkasse, Zahnarzt</v>
      </c>
      <c r="C90" s="170">
        <f ca="1">IF('Kat. I'!$H34="","",'Kat. I'!$I34)</f>
        <v>0</v>
      </c>
      <c r="D90" s="170">
        <f ca="1">IF('Kat. I'!$H94="","",'Kat. I'!$I94)</f>
        <v>0</v>
      </c>
      <c r="E90" s="170">
        <f ca="1">IF('Kat. I'!$H154="","",'Kat. I'!$I154)</f>
        <v>0</v>
      </c>
      <c r="F90" s="170">
        <f ca="1">IF('Kat. I'!$H214="","",'Kat. I'!$I214)</f>
        <v>0</v>
      </c>
      <c r="G90" s="170">
        <f ca="1">IF('Kat. I'!$H274="","",'Kat. I'!$I274)</f>
        <v>0</v>
      </c>
      <c r="H90" s="170">
        <f ca="1">IF('Kat. I'!$H334="","",'Kat. I'!$I334)</f>
        <v>0</v>
      </c>
      <c r="I90" s="170">
        <f ca="1">IF('Kat. I'!$H394="","",'Kat. I'!$I394)</f>
        <v>0</v>
      </c>
      <c r="J90" s="170">
        <f ca="1">IF('Kat. I'!$H454="","",'Kat. I'!$I454)</f>
        <v>0</v>
      </c>
      <c r="K90" s="170">
        <f ca="1">IF('Kat. I'!$H514="","",'Kat. I'!$I514)</f>
        <v>0</v>
      </c>
      <c r="L90" s="170">
        <f ca="1">IF('Kat. I'!$H574="","",'Kat. I'!$I574)</f>
        <v>0</v>
      </c>
      <c r="M90" s="170">
        <f ca="1">IF('Kat. I'!$H634="","",'Kat. I'!$I634)</f>
        <v>0</v>
      </c>
      <c r="N90" s="170">
        <f ca="1">IF('Kat. I'!$H694="","",'Kat. I'!$I694)</f>
        <v>0</v>
      </c>
      <c r="O90" s="170">
        <f t="shared" ca="1" si="2"/>
        <v>0</v>
      </c>
    </row>
    <row r="91" spans="1:15" ht="9.9499999999999993" customHeight="1">
      <c r="A91" s="133">
        <f>IF('Kat. I'!F35="","",'Kat. I'!F35)</f>
        <v>228</v>
      </c>
      <c r="B91" s="134" t="str">
        <f>IF('Kat. I'!H35="","",'Kat. I'!H35)</f>
        <v>Versicherungen allgemein</v>
      </c>
      <c r="C91" s="170">
        <f ca="1">IF('Kat. I'!$H35="","",'Kat. I'!$I35)</f>
        <v>0</v>
      </c>
      <c r="D91" s="170">
        <f ca="1">IF('Kat. I'!$H95="","",'Kat. I'!$I95)</f>
        <v>0</v>
      </c>
      <c r="E91" s="170">
        <f ca="1">IF('Kat. I'!$H155="","",'Kat. I'!$I155)</f>
        <v>0</v>
      </c>
      <c r="F91" s="170">
        <f ca="1">IF('Kat. I'!$H215="","",'Kat. I'!$I215)</f>
        <v>0</v>
      </c>
      <c r="G91" s="170">
        <f ca="1">IF('Kat. I'!$H275="","",'Kat. I'!$I275)</f>
        <v>0</v>
      </c>
      <c r="H91" s="170">
        <f ca="1">IF('Kat. I'!$H335="","",'Kat. I'!$I335)</f>
        <v>0</v>
      </c>
      <c r="I91" s="170">
        <f ca="1">IF('Kat. I'!$H395="","",'Kat. I'!$I395)</f>
        <v>0</v>
      </c>
      <c r="J91" s="170">
        <f ca="1">IF('Kat. I'!$H455="","",'Kat. I'!$I455)</f>
        <v>0</v>
      </c>
      <c r="K91" s="170">
        <f ca="1">IF('Kat. I'!$H515="","",'Kat. I'!$I515)</f>
        <v>0</v>
      </c>
      <c r="L91" s="170">
        <f ca="1">IF('Kat. I'!$H575="","",'Kat. I'!$I575)</f>
        <v>0</v>
      </c>
      <c r="M91" s="170">
        <f ca="1">IF('Kat. I'!$H635="","",'Kat. I'!$I635)</f>
        <v>0</v>
      </c>
      <c r="N91" s="170">
        <f ca="1">IF('Kat. I'!$H695="","",'Kat. I'!$I695)</f>
        <v>0</v>
      </c>
      <c r="O91" s="170">
        <f t="shared" ca="1" si="2"/>
        <v>0</v>
      </c>
    </row>
    <row r="92" spans="1:15" ht="9.9499999999999993" customHeight="1">
      <c r="A92" s="133">
        <f>IF('Kat. I'!F36="","",'Kat. I'!F36)</f>
        <v>229</v>
      </c>
      <c r="B92" s="134" t="str">
        <f>IF('Kat. I'!H36="","",'Kat. I'!H36)</f>
        <v>Büro, Computer, Fotos</v>
      </c>
      <c r="C92" s="170">
        <f ca="1">IF('Kat. I'!$H36="","",'Kat. I'!$I36)</f>
        <v>0</v>
      </c>
      <c r="D92" s="170">
        <f ca="1">IF('Kat. I'!$H96="","",'Kat. I'!$I96)</f>
        <v>0</v>
      </c>
      <c r="E92" s="170">
        <f ca="1">IF('Kat. I'!$H156="","",'Kat. I'!$I156)</f>
        <v>0</v>
      </c>
      <c r="F92" s="170">
        <f ca="1">IF('Kat. I'!$H216="","",'Kat. I'!$I216)</f>
        <v>0</v>
      </c>
      <c r="G92" s="170">
        <f ca="1">IF('Kat. I'!$H276="","",'Kat. I'!$I276)</f>
        <v>0</v>
      </c>
      <c r="H92" s="170">
        <f ca="1">IF('Kat. I'!$H336="","",'Kat. I'!$I336)</f>
        <v>0</v>
      </c>
      <c r="I92" s="170">
        <f ca="1">IF('Kat. I'!$H396="","",'Kat. I'!$I396)</f>
        <v>0</v>
      </c>
      <c r="J92" s="170">
        <f ca="1">IF('Kat. I'!$H456="","",'Kat. I'!$I456)</f>
        <v>0</v>
      </c>
      <c r="K92" s="170">
        <f ca="1">IF('Kat. I'!$H516="","",'Kat. I'!$I516)</f>
        <v>0</v>
      </c>
      <c r="L92" s="170">
        <f ca="1">IF('Kat. I'!$H576="","",'Kat. I'!$I576)</f>
        <v>0</v>
      </c>
      <c r="M92" s="170">
        <f ca="1">IF('Kat. I'!$H636="","",'Kat. I'!$I636)</f>
        <v>0</v>
      </c>
      <c r="N92" s="170">
        <f ca="1">IF('Kat. I'!$H696="","",'Kat. I'!$I696)</f>
        <v>0</v>
      </c>
      <c r="O92" s="170">
        <f t="shared" ca="1" si="2"/>
        <v>0</v>
      </c>
    </row>
    <row r="93" spans="1:15" ht="9.9499999999999993" customHeight="1">
      <c r="A93" s="133">
        <f>IF('Kat. I'!F37="","",'Kat. I'!F37)</f>
        <v>230</v>
      </c>
      <c r="B93" s="134" t="str">
        <f>IF('Kat. I'!H37="","",'Kat. I'!H37)</f>
        <v>Ferien, Ausflüge</v>
      </c>
      <c r="C93" s="170">
        <f ca="1">IF('Kat. I'!$H37="","",'Kat. I'!$I37)</f>
        <v>-910</v>
      </c>
      <c r="D93" s="170">
        <f ca="1">IF('Kat. I'!$H97="","",'Kat. I'!$I97)</f>
        <v>0</v>
      </c>
      <c r="E93" s="170">
        <f ca="1">IF('Kat. I'!$H157="","",'Kat. I'!$I157)</f>
        <v>0</v>
      </c>
      <c r="F93" s="170">
        <f ca="1">IF('Kat. I'!$H217="","",'Kat. I'!$I217)</f>
        <v>0</v>
      </c>
      <c r="G93" s="170">
        <f ca="1">IF('Kat. I'!$H277="","",'Kat. I'!$I277)</f>
        <v>0</v>
      </c>
      <c r="H93" s="170">
        <f ca="1">IF('Kat. I'!$H337="","",'Kat. I'!$I337)</f>
        <v>0</v>
      </c>
      <c r="I93" s="170">
        <f ca="1">IF('Kat. I'!$H397="","",'Kat. I'!$I397)</f>
        <v>0</v>
      </c>
      <c r="J93" s="170">
        <f ca="1">IF('Kat. I'!$H457="","",'Kat. I'!$I457)</f>
        <v>0</v>
      </c>
      <c r="K93" s="170">
        <f ca="1">IF('Kat. I'!$H517="","",'Kat. I'!$I517)</f>
        <v>0</v>
      </c>
      <c r="L93" s="170">
        <f ca="1">IF('Kat. I'!$H577="","",'Kat. I'!$I577)</f>
        <v>0</v>
      </c>
      <c r="M93" s="170">
        <f ca="1">IF('Kat. I'!$H637="","",'Kat. I'!$I637)</f>
        <v>0</v>
      </c>
      <c r="N93" s="170">
        <f ca="1">IF('Kat. I'!$H697="","",'Kat. I'!$I697)</f>
        <v>0</v>
      </c>
      <c r="O93" s="170">
        <f t="shared" ca="1" si="2"/>
        <v>-910</v>
      </c>
    </row>
    <row r="94" spans="1:15" ht="9.9499999999999993" customHeight="1">
      <c r="A94" s="133">
        <f>IF('Kat. I'!F38="","",'Kat. I'!F38)</f>
        <v>231</v>
      </c>
      <c r="B94" s="134" t="str">
        <f>IF('Kat. I'!H38="","",'Kat. I'!H38)</f>
        <v>Freizeit, Vergnügen, Unterhaltung</v>
      </c>
      <c r="C94" s="170">
        <f ca="1">IF('Kat. I'!$H38="","",'Kat. I'!$I38)</f>
        <v>0</v>
      </c>
      <c r="D94" s="170">
        <f ca="1">IF('Kat. I'!$H98="","",'Kat. I'!$I98)</f>
        <v>0</v>
      </c>
      <c r="E94" s="170">
        <f ca="1">IF('Kat. I'!$H158="","",'Kat. I'!$I158)</f>
        <v>0</v>
      </c>
      <c r="F94" s="170">
        <f ca="1">IF('Kat. I'!$H218="","",'Kat. I'!$I218)</f>
        <v>0</v>
      </c>
      <c r="G94" s="170">
        <f ca="1">IF('Kat. I'!$H278="","",'Kat. I'!$I278)</f>
        <v>0</v>
      </c>
      <c r="H94" s="170">
        <f ca="1">IF('Kat. I'!$H338="","",'Kat. I'!$I338)</f>
        <v>0</v>
      </c>
      <c r="I94" s="170">
        <f ca="1">IF('Kat. I'!$H398="","",'Kat. I'!$I398)</f>
        <v>0</v>
      </c>
      <c r="J94" s="170">
        <f ca="1">IF('Kat. I'!$H458="","",'Kat. I'!$I458)</f>
        <v>0</v>
      </c>
      <c r="K94" s="170">
        <f ca="1">IF('Kat. I'!$H518="","",'Kat. I'!$I518)</f>
        <v>0</v>
      </c>
      <c r="L94" s="170">
        <f ca="1">IF('Kat. I'!$H578="","",'Kat. I'!$I578)</f>
        <v>0</v>
      </c>
      <c r="M94" s="170">
        <f ca="1">IF('Kat. I'!$H638="","",'Kat. I'!$I638)</f>
        <v>0</v>
      </c>
      <c r="N94" s="170">
        <f ca="1">IF('Kat. I'!$H698="","",'Kat. I'!$I698)</f>
        <v>0</v>
      </c>
      <c r="O94" s="170">
        <f t="shared" ca="1" si="2"/>
        <v>0</v>
      </c>
    </row>
    <row r="95" spans="1:15" ht="9.9499999999999993" customHeight="1">
      <c r="A95" s="133">
        <f>IF('Kat. I'!F39="","",'Kat. I'!F39)</f>
        <v>232</v>
      </c>
      <c r="B95" s="134" t="str">
        <f>IF('Kat. I'!H39="","",'Kat. I'!H39)</f>
        <v>Telefon</v>
      </c>
      <c r="C95" s="170">
        <f ca="1">IF('Kat. I'!$H39="","",'Kat. I'!$I39)</f>
        <v>0</v>
      </c>
      <c r="D95" s="170">
        <f ca="1">IF('Kat. I'!$H99="","",'Kat. I'!$I99)</f>
        <v>0</v>
      </c>
      <c r="E95" s="170">
        <f ca="1">IF('Kat. I'!$H159="","",'Kat. I'!$I159)</f>
        <v>0</v>
      </c>
      <c r="F95" s="170">
        <f ca="1">IF('Kat. I'!$H219="","",'Kat. I'!$I219)</f>
        <v>0</v>
      </c>
      <c r="G95" s="170">
        <f ca="1">IF('Kat. I'!$H279="","",'Kat. I'!$I279)</f>
        <v>0</v>
      </c>
      <c r="H95" s="170">
        <f ca="1">IF('Kat. I'!$H339="","",'Kat. I'!$I339)</f>
        <v>0</v>
      </c>
      <c r="I95" s="170">
        <f ca="1">IF('Kat. I'!$H399="","",'Kat. I'!$I399)</f>
        <v>0</v>
      </c>
      <c r="J95" s="170">
        <f ca="1">IF('Kat. I'!$H459="","",'Kat. I'!$I459)</f>
        <v>0</v>
      </c>
      <c r="K95" s="170">
        <f ca="1">IF('Kat. I'!$H519="","",'Kat. I'!$I519)</f>
        <v>0</v>
      </c>
      <c r="L95" s="170">
        <f ca="1">IF('Kat. I'!$H579="","",'Kat. I'!$I579)</f>
        <v>0</v>
      </c>
      <c r="M95" s="170">
        <f ca="1">IF('Kat. I'!$H639="","",'Kat. I'!$I639)</f>
        <v>0</v>
      </c>
      <c r="N95" s="170">
        <f ca="1">IF('Kat. I'!$H699="","",'Kat. I'!$I699)</f>
        <v>0</v>
      </c>
      <c r="O95" s="170">
        <f t="shared" ca="1" si="2"/>
        <v>0</v>
      </c>
    </row>
    <row r="96" spans="1:15" ht="9.9499999999999993" customHeight="1">
      <c r="A96" s="133">
        <f>IF('Kat. I'!F40="","",'Kat. I'!F40)</f>
        <v>233</v>
      </c>
      <c r="B96" s="134" t="str">
        <f>IF('Kat. I'!H40="","",'Kat. I'!H40)</f>
        <v>Öffentlicher Verkehr und Velo</v>
      </c>
      <c r="C96" s="170">
        <f ca="1">IF('Kat. I'!$H40="","",'Kat. I'!$I40)</f>
        <v>0</v>
      </c>
      <c r="D96" s="170">
        <f ca="1">IF('Kat. I'!$H100="","",'Kat. I'!$I100)</f>
        <v>0</v>
      </c>
      <c r="E96" s="170">
        <f ca="1">IF('Kat. I'!$H160="","",'Kat. I'!$I160)</f>
        <v>0</v>
      </c>
      <c r="F96" s="170">
        <f ca="1">IF('Kat. I'!$H220="","",'Kat. I'!$I220)</f>
        <v>0</v>
      </c>
      <c r="G96" s="170">
        <f ca="1">IF('Kat. I'!$H280="","",'Kat. I'!$I280)</f>
        <v>0</v>
      </c>
      <c r="H96" s="170">
        <f ca="1">IF('Kat. I'!$H340="","",'Kat. I'!$I340)</f>
        <v>0</v>
      </c>
      <c r="I96" s="170">
        <f ca="1">IF('Kat. I'!$H400="","",'Kat. I'!$I400)</f>
        <v>0</v>
      </c>
      <c r="J96" s="170">
        <f ca="1">IF('Kat. I'!$H460="","",'Kat. I'!$I460)</f>
        <v>0</v>
      </c>
      <c r="K96" s="170">
        <f ca="1">IF('Kat. I'!$H520="","",'Kat. I'!$I520)</f>
        <v>0</v>
      </c>
      <c r="L96" s="170">
        <f ca="1">IF('Kat. I'!$H580="","",'Kat. I'!$I580)</f>
        <v>0</v>
      </c>
      <c r="M96" s="170">
        <f ca="1">IF('Kat. I'!$H640="","",'Kat. I'!$I640)</f>
        <v>0</v>
      </c>
      <c r="N96" s="170">
        <f ca="1">IF('Kat. I'!$H700="","",'Kat. I'!$I700)</f>
        <v>0</v>
      </c>
      <c r="O96" s="170">
        <f t="shared" ca="1" si="2"/>
        <v>0</v>
      </c>
    </row>
    <row r="97" spans="1:15" ht="9.9499999999999993" customHeight="1">
      <c r="A97" s="133">
        <f>IF('Kat. I'!F41="","",'Kat. I'!F41)</f>
        <v>234</v>
      </c>
      <c r="B97" s="134" t="str">
        <f>IF('Kat. I'!H41="","",'Kat. I'!H41)</f>
        <v>Möbel, Wohnungseinrichtung</v>
      </c>
      <c r="C97" s="170">
        <f ca="1">IF('Kat. I'!$H41="","",'Kat. I'!$I41)</f>
        <v>0</v>
      </c>
      <c r="D97" s="170">
        <f ca="1">IF('Kat. I'!$H101="","",'Kat. I'!$I101)</f>
        <v>0</v>
      </c>
      <c r="E97" s="170">
        <f ca="1">IF('Kat. I'!$H161="","",'Kat. I'!$I161)</f>
        <v>0</v>
      </c>
      <c r="F97" s="170">
        <f ca="1">IF('Kat. I'!$H221="","",'Kat. I'!$I221)</f>
        <v>0</v>
      </c>
      <c r="G97" s="170">
        <f ca="1">IF('Kat. I'!$H281="","",'Kat. I'!$I281)</f>
        <v>0</v>
      </c>
      <c r="H97" s="170">
        <f ca="1">IF('Kat. I'!$H341="","",'Kat. I'!$I341)</f>
        <v>0</v>
      </c>
      <c r="I97" s="170">
        <f ca="1">IF('Kat. I'!$H401="","",'Kat. I'!$I401)</f>
        <v>0</v>
      </c>
      <c r="J97" s="170">
        <f ca="1">IF('Kat. I'!$H461="","",'Kat. I'!$I461)</f>
        <v>0</v>
      </c>
      <c r="K97" s="170">
        <f ca="1">IF('Kat. I'!$H521="","",'Kat. I'!$I521)</f>
        <v>0</v>
      </c>
      <c r="L97" s="170">
        <f ca="1">IF('Kat. I'!$H581="","",'Kat. I'!$I581)</f>
        <v>0</v>
      </c>
      <c r="M97" s="170">
        <f ca="1">IF('Kat. I'!$H641="","",'Kat. I'!$I641)</f>
        <v>0</v>
      </c>
      <c r="N97" s="170">
        <f ca="1">IF('Kat. I'!$H701="","",'Kat. I'!$I701)</f>
        <v>0</v>
      </c>
      <c r="O97" s="170">
        <f t="shared" ca="1" si="2"/>
        <v>0</v>
      </c>
    </row>
    <row r="98" spans="1:15" ht="9.9499999999999993" customHeight="1">
      <c r="A98" s="133">
        <f>IF('Kat. I'!F42="","",'Kat. I'!F42)</f>
        <v>235</v>
      </c>
      <c r="B98" s="134" t="str">
        <f>IF('Kat. I'!H42="","",'Kat. I'!H42)</f>
        <v>Kosten IT Consulting / Webdesign</v>
      </c>
      <c r="C98" s="170">
        <f ca="1">IF('Kat. I'!$H42="","",'Kat. I'!$I42)</f>
        <v>0</v>
      </c>
      <c r="D98" s="170">
        <f ca="1">IF('Kat. I'!$H102="","",'Kat. I'!$I102)</f>
        <v>0</v>
      </c>
      <c r="E98" s="170">
        <f ca="1">IF('Kat. I'!$H162="","",'Kat. I'!$I162)</f>
        <v>0</v>
      </c>
      <c r="F98" s="170">
        <f ca="1">IF('Kat. I'!$H222="","",'Kat. I'!$I222)</f>
        <v>0</v>
      </c>
      <c r="G98" s="170">
        <f ca="1">IF('Kat. I'!$H282="","",'Kat. I'!$I282)</f>
        <v>0</v>
      </c>
      <c r="H98" s="170">
        <f ca="1">IF('Kat. I'!$H342="","",'Kat. I'!$I342)</f>
        <v>0</v>
      </c>
      <c r="I98" s="170">
        <f ca="1">IF('Kat. I'!$H402="","",'Kat. I'!$I402)</f>
        <v>0</v>
      </c>
      <c r="J98" s="170">
        <f ca="1">IF('Kat. I'!$H462="","",'Kat. I'!$I462)</f>
        <v>0</v>
      </c>
      <c r="K98" s="170">
        <f ca="1">IF('Kat. I'!$H522="","",'Kat. I'!$I522)</f>
        <v>0</v>
      </c>
      <c r="L98" s="170">
        <f ca="1">IF('Kat. I'!$H582="","",'Kat. I'!$I582)</f>
        <v>0</v>
      </c>
      <c r="M98" s="170">
        <f ca="1">IF('Kat. I'!$H642="","",'Kat. I'!$I642)</f>
        <v>0</v>
      </c>
      <c r="N98" s="170">
        <f ca="1">IF('Kat. I'!$H702="","",'Kat. I'!$I702)</f>
        <v>0</v>
      </c>
      <c r="O98" s="170">
        <f t="shared" ca="1" si="2"/>
        <v>0</v>
      </c>
    </row>
    <row r="99" spans="1:15" ht="9.9499999999999993" customHeight="1">
      <c r="A99" s="133">
        <f>IF('Kat. I'!F43="","",'Kat. I'!F43)</f>
        <v>236</v>
      </c>
      <c r="B99" s="134" t="str">
        <f>IF('Kat. I'!H43="","",'Kat. I'!H43)</f>
        <v>Schule und Bildung Kinder</v>
      </c>
      <c r="C99" s="170">
        <f ca="1">IF('Kat. I'!$H43="","",'Kat. I'!$I43)</f>
        <v>0</v>
      </c>
      <c r="D99" s="170">
        <f ca="1">IF('Kat. I'!$H103="","",'Kat. I'!$I103)</f>
        <v>0</v>
      </c>
      <c r="E99" s="170">
        <f ca="1">IF('Kat. I'!$H163="","",'Kat. I'!$I163)</f>
        <v>0</v>
      </c>
      <c r="F99" s="170">
        <f ca="1">IF('Kat. I'!$H223="","",'Kat. I'!$I223)</f>
        <v>0</v>
      </c>
      <c r="G99" s="170">
        <f ca="1">IF('Kat. I'!$H283="","",'Kat. I'!$I283)</f>
        <v>0</v>
      </c>
      <c r="H99" s="170">
        <f ca="1">IF('Kat. I'!$H343="","",'Kat. I'!$I343)</f>
        <v>0</v>
      </c>
      <c r="I99" s="170">
        <f ca="1">IF('Kat. I'!$H403="","",'Kat. I'!$I403)</f>
        <v>0</v>
      </c>
      <c r="J99" s="170">
        <f ca="1">IF('Kat. I'!$H463="","",'Kat. I'!$I463)</f>
        <v>0</v>
      </c>
      <c r="K99" s="170">
        <f ca="1">IF('Kat. I'!$H523="","",'Kat. I'!$I523)</f>
        <v>0</v>
      </c>
      <c r="L99" s="170">
        <f ca="1">IF('Kat. I'!$H583="","",'Kat. I'!$I583)</f>
        <v>0</v>
      </c>
      <c r="M99" s="170">
        <f ca="1">IF('Kat. I'!$H643="","",'Kat. I'!$I643)</f>
        <v>0</v>
      </c>
      <c r="N99" s="170">
        <f ca="1">IF('Kat. I'!$H703="","",'Kat. I'!$I703)</f>
        <v>0</v>
      </c>
      <c r="O99" s="170">
        <f t="shared" ca="1" si="2"/>
        <v>0</v>
      </c>
    </row>
    <row r="100" spans="1:15" ht="9.9499999999999993" customHeight="1">
      <c r="A100" s="133">
        <f>IF('Kat. I'!F44="","",'Kat. I'!F44)</f>
        <v>237</v>
      </c>
      <c r="B100" s="134" t="str">
        <f>IF('Kat. I'!H44="","",'Kat. I'!H44)</f>
        <v>Org. Freizeitaktivitäten der Kinder</v>
      </c>
      <c r="C100" s="170">
        <f ca="1">IF('Kat. I'!$H44="","",'Kat. I'!$I44)</f>
        <v>0</v>
      </c>
      <c r="D100" s="170">
        <f ca="1">IF('Kat. I'!$H104="","",'Kat. I'!$I104)</f>
        <v>0</v>
      </c>
      <c r="E100" s="170">
        <f ca="1">IF('Kat. I'!$H164="","",'Kat. I'!$I164)</f>
        <v>0</v>
      </c>
      <c r="F100" s="170">
        <f ca="1">IF('Kat. I'!$H224="","",'Kat. I'!$I224)</f>
        <v>0</v>
      </c>
      <c r="G100" s="170">
        <f ca="1">IF('Kat. I'!$H284="","",'Kat. I'!$I284)</f>
        <v>0</v>
      </c>
      <c r="H100" s="170">
        <f ca="1">IF('Kat. I'!$H344="","",'Kat. I'!$I344)</f>
        <v>0</v>
      </c>
      <c r="I100" s="170">
        <f ca="1">IF('Kat. I'!$H404="","",'Kat. I'!$I404)</f>
        <v>0</v>
      </c>
      <c r="J100" s="170">
        <f ca="1">IF('Kat. I'!$H464="","",'Kat. I'!$I464)</f>
        <v>0</v>
      </c>
      <c r="K100" s="170">
        <f ca="1">IF('Kat. I'!$H524="","",'Kat. I'!$I524)</f>
        <v>0</v>
      </c>
      <c r="L100" s="170">
        <f ca="1">IF('Kat. I'!$H584="","",'Kat. I'!$I584)</f>
        <v>0</v>
      </c>
      <c r="M100" s="170">
        <f ca="1">IF('Kat. I'!$H644="","",'Kat. I'!$I644)</f>
        <v>0</v>
      </c>
      <c r="N100" s="170">
        <f ca="1">IF('Kat. I'!$H704="","",'Kat. I'!$I704)</f>
        <v>0</v>
      </c>
      <c r="O100" s="170">
        <f t="shared" ca="1" si="2"/>
        <v>0</v>
      </c>
    </row>
    <row r="101" spans="1:15" ht="9.9499999999999993" customHeight="1">
      <c r="A101" s="133">
        <f>IF('Kat. I'!F45="","",'Kat. I'!F45)</f>
        <v>238</v>
      </c>
      <c r="B101" s="134" t="str">
        <f>IF('Kat. I'!H45="","",'Kat. I'!H45)</f>
        <v/>
      </c>
      <c r="C101" s="170" t="str">
        <f>IF('Kat. I'!$H45="","",'Kat. I'!$I45)</f>
        <v/>
      </c>
      <c r="D101" s="170" t="str">
        <f>IF('Kat. I'!$H105="","",'Kat. I'!$I105)</f>
        <v/>
      </c>
      <c r="E101" s="170" t="str">
        <f>IF('Kat. I'!$H165="","",'Kat. I'!$I165)</f>
        <v/>
      </c>
      <c r="F101" s="170" t="str">
        <f>IF('Kat. I'!$H225="","",'Kat. I'!$I225)</f>
        <v/>
      </c>
      <c r="G101" s="170" t="str">
        <f>IF('Kat. I'!$H285="","",'Kat. I'!$I285)</f>
        <v/>
      </c>
      <c r="H101" s="170" t="str">
        <f>IF('Kat. I'!$H345="","",'Kat. I'!$I345)</f>
        <v/>
      </c>
      <c r="I101" s="170" t="str">
        <f>IF('Kat. I'!$H405="","",'Kat. I'!$I405)</f>
        <v/>
      </c>
      <c r="J101" s="170" t="str">
        <f>IF('Kat. I'!$H465="","",'Kat. I'!$I465)</f>
        <v/>
      </c>
      <c r="K101" s="170" t="str">
        <f>IF('Kat. I'!$H525="","",'Kat. I'!$I525)</f>
        <v/>
      </c>
      <c r="L101" s="170" t="str">
        <f>IF('Kat. I'!$H585="","",'Kat. I'!$I585)</f>
        <v/>
      </c>
      <c r="M101" s="170" t="str">
        <f>IF('Kat. I'!$H645="","",'Kat. I'!$I645)</f>
        <v/>
      </c>
      <c r="N101" s="170" t="str">
        <f>IF('Kat. I'!$H705="","",'Kat. I'!$I705)</f>
        <v/>
      </c>
      <c r="O101" s="170" t="str">
        <f t="shared" si="2"/>
        <v/>
      </c>
    </row>
    <row r="102" spans="1:15" ht="9.9499999999999993" customHeight="1">
      <c r="A102" s="133">
        <f>IF('Kat. I'!F46="","",'Kat. I'!F46)</f>
        <v>239</v>
      </c>
      <c r="B102" s="134" t="str">
        <f>IF('Kat. I'!H46="","",'Kat. I'!H46)</f>
        <v>Wohltätige Spenden</v>
      </c>
      <c r="C102" s="170">
        <f ca="1">IF('Kat. I'!$H46="","",'Kat. I'!$I46)</f>
        <v>0</v>
      </c>
      <c r="D102" s="170">
        <f ca="1">IF('Kat. I'!$H106="","",'Kat. I'!$I106)</f>
        <v>0</v>
      </c>
      <c r="E102" s="170">
        <f ca="1">IF('Kat. I'!$H166="","",'Kat. I'!$I166)</f>
        <v>0</v>
      </c>
      <c r="F102" s="170">
        <f ca="1">IF('Kat. I'!$H226="","",'Kat. I'!$I226)</f>
        <v>0</v>
      </c>
      <c r="G102" s="170">
        <f ca="1">IF('Kat. I'!$H286="","",'Kat. I'!$I286)</f>
        <v>0</v>
      </c>
      <c r="H102" s="170">
        <f ca="1">IF('Kat. I'!$H346="","",'Kat. I'!$I346)</f>
        <v>0</v>
      </c>
      <c r="I102" s="170">
        <f ca="1">IF('Kat. I'!$H406="","",'Kat. I'!$I406)</f>
        <v>0</v>
      </c>
      <c r="J102" s="170">
        <f ca="1">IF('Kat. I'!$H466="","",'Kat. I'!$I466)</f>
        <v>0</v>
      </c>
      <c r="K102" s="170">
        <f ca="1">IF('Kat. I'!$H526="","",'Kat. I'!$I526)</f>
        <v>0</v>
      </c>
      <c r="L102" s="170">
        <f ca="1">IF('Kat. I'!$H586="","",'Kat. I'!$I586)</f>
        <v>0</v>
      </c>
      <c r="M102" s="170">
        <f ca="1">IF('Kat. I'!$H646="","",'Kat. I'!$I646)</f>
        <v>0</v>
      </c>
      <c r="N102" s="170">
        <f ca="1">IF('Kat. I'!$H706="","",'Kat. I'!$I706)</f>
        <v>0</v>
      </c>
      <c r="O102" s="170">
        <f t="shared" ca="1" si="2"/>
        <v>0</v>
      </c>
    </row>
    <row r="103" spans="1:15" ht="9.9499999999999993" customHeight="1">
      <c r="A103" s="133">
        <f>IF('Kat. I'!F47="","",'Kat. I'!F47)</f>
        <v>240</v>
      </c>
      <c r="B103" s="134" t="str">
        <f>IF('Kat. I'!H47="","",'Kat. I'!H47)</f>
        <v>Vorsorgesparen 3a / PK Einkauf</v>
      </c>
      <c r="C103" s="170">
        <f ca="1">IF('Kat. I'!$H47="","",'Kat. I'!$I47)</f>
        <v>0</v>
      </c>
      <c r="D103" s="170">
        <f ca="1">IF('Kat. I'!$H107="","",'Kat. I'!$I107)</f>
        <v>0</v>
      </c>
      <c r="E103" s="170">
        <f ca="1">IF('Kat. I'!$H167="","",'Kat. I'!$I167)</f>
        <v>0</v>
      </c>
      <c r="F103" s="170">
        <f ca="1">IF('Kat. I'!$H227="","",'Kat. I'!$I227)</f>
        <v>0</v>
      </c>
      <c r="G103" s="170">
        <f ca="1">IF('Kat. I'!$H287="","",'Kat. I'!$I287)</f>
        <v>0</v>
      </c>
      <c r="H103" s="170">
        <f ca="1">IF('Kat. I'!$H347="","",'Kat. I'!$I347)</f>
        <v>0</v>
      </c>
      <c r="I103" s="170">
        <f ca="1">IF('Kat. I'!$H407="","",'Kat. I'!$I407)</f>
        <v>0</v>
      </c>
      <c r="J103" s="170">
        <f ca="1">IF('Kat. I'!$H467="","",'Kat. I'!$I467)</f>
        <v>0</v>
      </c>
      <c r="K103" s="170">
        <f ca="1">IF('Kat. I'!$H527="","",'Kat. I'!$I527)</f>
        <v>0</v>
      </c>
      <c r="L103" s="170">
        <f ca="1">IF('Kat. I'!$H587="","",'Kat. I'!$I587)</f>
        <v>0</v>
      </c>
      <c r="M103" s="170">
        <f ca="1">IF('Kat. I'!$H647="","",'Kat. I'!$I647)</f>
        <v>0</v>
      </c>
      <c r="N103" s="170">
        <f ca="1">IF('Kat. I'!$H707="","",'Kat. I'!$I707)</f>
        <v>0</v>
      </c>
      <c r="O103" s="170">
        <f t="shared" ca="1" si="2"/>
        <v>0</v>
      </c>
    </row>
    <row r="104" spans="1:15" ht="9.9499999999999993" customHeight="1">
      <c r="A104" s="133">
        <f>IF('Kat. I'!F48="","",'Kat. I'!F48)</f>
        <v>241</v>
      </c>
      <c r="B104" s="134" t="str">
        <f>IF('Kat. I'!H48="","",'Kat. I'!H48)</f>
        <v/>
      </c>
      <c r="C104" s="170" t="str">
        <f>IF('Kat. I'!$H48="","",'Kat. I'!$I48)</f>
        <v/>
      </c>
      <c r="D104" s="170" t="str">
        <f>IF('Kat. I'!$H108="","",'Kat. I'!$I108)</f>
        <v/>
      </c>
      <c r="E104" s="170" t="str">
        <f>IF('Kat. I'!$H168="","",'Kat. I'!$I168)</f>
        <v/>
      </c>
      <c r="F104" s="170" t="str">
        <f>IF('Kat. I'!$H228="","",'Kat. I'!$I228)</f>
        <v/>
      </c>
      <c r="G104" s="170" t="str">
        <f>IF('Kat. I'!$H288="","",'Kat. I'!$I288)</f>
        <v/>
      </c>
      <c r="H104" s="170" t="str">
        <f>IF('Kat. I'!$H348="","",'Kat. I'!$I348)</f>
        <v/>
      </c>
      <c r="I104" s="170" t="str">
        <f>IF('Kat. I'!$H408="","",'Kat. I'!$I408)</f>
        <v/>
      </c>
      <c r="J104" s="170" t="str">
        <f>IF('Kat. I'!$H468="","",'Kat. I'!$I468)</f>
        <v/>
      </c>
      <c r="K104" s="170" t="str">
        <f>IF('Kat. I'!$H528="","",'Kat. I'!$I528)</f>
        <v/>
      </c>
      <c r="L104" s="170" t="str">
        <f>IF('Kat. I'!$H588="","",'Kat. I'!$I588)</f>
        <v/>
      </c>
      <c r="M104" s="170" t="str">
        <f>IF('Kat. I'!$H648="","",'Kat. I'!$I648)</f>
        <v/>
      </c>
      <c r="N104" s="170" t="str">
        <f>IF('Kat. I'!$H708="","",'Kat. I'!$I708)</f>
        <v/>
      </c>
      <c r="O104" s="170" t="str">
        <f t="shared" si="2"/>
        <v/>
      </c>
    </row>
    <row r="105" spans="1:15" ht="9.9499999999999993" customHeight="1">
      <c r="A105" s="133">
        <f>IF('Kat. I'!F49="","",'Kat. I'!F49)</f>
        <v>242</v>
      </c>
      <c r="B105" s="134" t="str">
        <f>IF('Kat. I'!H49="","",'Kat. I'!H49)</f>
        <v/>
      </c>
      <c r="C105" s="170" t="str">
        <f>IF('Kat. I'!$H49="","",'Kat. I'!$I49)</f>
        <v/>
      </c>
      <c r="D105" s="170" t="str">
        <f>IF('Kat. I'!$H109="","",'Kat. I'!$I109)</f>
        <v/>
      </c>
      <c r="E105" s="170" t="str">
        <f>IF('Kat. I'!$H169="","",'Kat. I'!$I169)</f>
        <v/>
      </c>
      <c r="F105" s="170" t="str">
        <f>IF('Kat. I'!$H229="","",'Kat. I'!$I229)</f>
        <v/>
      </c>
      <c r="G105" s="170" t="str">
        <f>IF('Kat. I'!$H289="","",'Kat. I'!$I289)</f>
        <v/>
      </c>
      <c r="H105" s="170" t="str">
        <f>IF('Kat. I'!$H349="","",'Kat. I'!$I349)</f>
        <v/>
      </c>
      <c r="I105" s="170" t="str">
        <f>IF('Kat. I'!$H409="","",'Kat. I'!$I409)</f>
        <v/>
      </c>
      <c r="J105" s="170" t="str">
        <f>IF('Kat. I'!$H469="","",'Kat. I'!$I469)</f>
        <v/>
      </c>
      <c r="K105" s="170" t="str">
        <f>IF('Kat. I'!$H529="","",'Kat. I'!$I529)</f>
        <v/>
      </c>
      <c r="L105" s="170" t="str">
        <f>IF('Kat. I'!$H589="","",'Kat. I'!$I589)</f>
        <v/>
      </c>
      <c r="M105" s="170" t="str">
        <f>IF('Kat. I'!$H649="","",'Kat. I'!$I649)</f>
        <v/>
      </c>
      <c r="N105" s="170" t="str">
        <f>IF('Kat. I'!$H709="","",'Kat. I'!$I709)</f>
        <v/>
      </c>
      <c r="O105" s="170" t="str">
        <f t="shared" si="2"/>
        <v/>
      </c>
    </row>
    <row r="106" spans="1:15" ht="9.9499999999999993" customHeight="1">
      <c r="A106" s="133">
        <f>IF('Kat. I'!F50="","",'Kat. I'!F50)</f>
        <v>243</v>
      </c>
      <c r="B106" s="134" t="str">
        <f>IF('Kat. I'!H50="","",'Kat. I'!H50)</f>
        <v>Wasser</v>
      </c>
      <c r="C106" s="170">
        <f ca="1">IF('Kat. I'!$H50="","",'Kat. I'!$I50)</f>
        <v>0</v>
      </c>
      <c r="D106" s="170">
        <f ca="1">IF('Kat. I'!$H110="","",'Kat. I'!$I110)</f>
        <v>0</v>
      </c>
      <c r="E106" s="170">
        <f ca="1">IF('Kat. I'!$H170="","",'Kat. I'!$I170)</f>
        <v>0</v>
      </c>
      <c r="F106" s="170">
        <f ca="1">IF('Kat. I'!$H230="","",'Kat. I'!$I230)</f>
        <v>0</v>
      </c>
      <c r="G106" s="170">
        <f ca="1">IF('Kat. I'!$H290="","",'Kat. I'!$I290)</f>
        <v>0</v>
      </c>
      <c r="H106" s="170">
        <f ca="1">IF('Kat. I'!$H350="","",'Kat. I'!$I350)</f>
        <v>0</v>
      </c>
      <c r="I106" s="170">
        <f ca="1">IF('Kat. I'!$H410="","",'Kat. I'!$I410)</f>
        <v>0</v>
      </c>
      <c r="J106" s="170">
        <f ca="1">IF('Kat. I'!$H470="","",'Kat. I'!$I470)</f>
        <v>0</v>
      </c>
      <c r="K106" s="170">
        <f ca="1">IF('Kat. I'!$H530="","",'Kat. I'!$I530)</f>
        <v>0</v>
      </c>
      <c r="L106" s="170">
        <f ca="1">IF('Kat. I'!$H590="","",'Kat. I'!$I590)</f>
        <v>0</v>
      </c>
      <c r="M106" s="170">
        <f ca="1">IF('Kat. I'!$H650="","",'Kat. I'!$I650)</f>
        <v>0</v>
      </c>
      <c r="N106" s="170">
        <f ca="1">IF('Kat. I'!$H710="","",'Kat. I'!$I710)</f>
        <v>0</v>
      </c>
      <c r="O106" s="170">
        <f t="shared" ca="1" si="2"/>
        <v>0</v>
      </c>
    </row>
    <row r="107" spans="1:15" ht="9.9499999999999993" customHeight="1">
      <c r="A107" s="133">
        <f>IF('Kat. I'!F51="","",'Kat. I'!F51)</f>
        <v>244</v>
      </c>
      <c r="B107" s="134" t="str">
        <f>IF('Kat. I'!H51="","",'Kat. I'!H51)</f>
        <v>Strom</v>
      </c>
      <c r="C107" s="170">
        <f ca="1">IF('Kat. I'!$H51="","",'Kat. I'!$I51)</f>
        <v>0</v>
      </c>
      <c r="D107" s="170">
        <f ca="1">IF('Kat. I'!$H111="","",'Kat. I'!$I111)</f>
        <v>0</v>
      </c>
      <c r="E107" s="170">
        <f ca="1">IF('Kat. I'!$H171="","",'Kat. I'!$I171)</f>
        <v>0</v>
      </c>
      <c r="F107" s="170">
        <f ca="1">IF('Kat. I'!$H231="","",'Kat. I'!$I231)</f>
        <v>0</v>
      </c>
      <c r="G107" s="170">
        <f ca="1">IF('Kat. I'!$H291="","",'Kat. I'!$I291)</f>
        <v>0</v>
      </c>
      <c r="H107" s="170">
        <f ca="1">IF('Kat. I'!$H351="","",'Kat. I'!$I351)</f>
        <v>0</v>
      </c>
      <c r="I107" s="170">
        <f ca="1">IF('Kat. I'!$H411="","",'Kat. I'!$I411)</f>
        <v>0</v>
      </c>
      <c r="J107" s="170">
        <f ca="1">IF('Kat. I'!$H471="","",'Kat. I'!$I471)</f>
        <v>0</v>
      </c>
      <c r="K107" s="170">
        <f ca="1">IF('Kat. I'!$H531="","",'Kat. I'!$I531)</f>
        <v>0</v>
      </c>
      <c r="L107" s="170">
        <f ca="1">IF('Kat. I'!$H591="","",'Kat. I'!$I591)</f>
        <v>0</v>
      </c>
      <c r="M107" s="170">
        <f ca="1">IF('Kat. I'!$H651="","",'Kat. I'!$I651)</f>
        <v>0</v>
      </c>
      <c r="N107" s="170">
        <f ca="1">IF('Kat. I'!$H711="","",'Kat. I'!$I711)</f>
        <v>0</v>
      </c>
      <c r="O107" s="170">
        <f t="shared" ca="1" si="2"/>
        <v>0</v>
      </c>
    </row>
    <row r="108" spans="1:15" ht="9.9499999999999993" customHeight="1">
      <c r="A108" s="133">
        <f>IF('Kat. I'!F52="","",'Kat. I'!F52)</f>
        <v>245</v>
      </c>
      <c r="B108" s="134" t="str">
        <f>IF('Kat. I'!H52="","",'Kat. I'!H52)</f>
        <v>Geschenke</v>
      </c>
      <c r="C108" s="170">
        <f ca="1">IF('Kat. I'!$H52="","",'Kat. I'!$I52)</f>
        <v>0</v>
      </c>
      <c r="D108" s="170">
        <f ca="1">IF('Kat. I'!$H112="","",'Kat. I'!$I112)</f>
        <v>0</v>
      </c>
      <c r="E108" s="170">
        <f ca="1">IF('Kat. I'!$H172="","",'Kat. I'!$I172)</f>
        <v>0</v>
      </c>
      <c r="F108" s="170">
        <f ca="1">IF('Kat. I'!$H232="","",'Kat. I'!$I232)</f>
        <v>0</v>
      </c>
      <c r="G108" s="170">
        <f ca="1">IF('Kat. I'!$H292="","",'Kat. I'!$I292)</f>
        <v>0</v>
      </c>
      <c r="H108" s="170">
        <f ca="1">IF('Kat. I'!$H352="","",'Kat. I'!$I352)</f>
        <v>0</v>
      </c>
      <c r="I108" s="170">
        <f ca="1">IF('Kat. I'!$H412="","",'Kat. I'!$I412)</f>
        <v>0</v>
      </c>
      <c r="J108" s="170">
        <f ca="1">IF('Kat. I'!$H472="","",'Kat. I'!$I472)</f>
        <v>0</v>
      </c>
      <c r="K108" s="170">
        <f ca="1">IF('Kat. I'!$H532="","",'Kat. I'!$I532)</f>
        <v>0</v>
      </c>
      <c r="L108" s="170">
        <f ca="1">IF('Kat. I'!$H592="","",'Kat. I'!$I592)</f>
        <v>0</v>
      </c>
      <c r="M108" s="170">
        <f ca="1">IF('Kat. I'!$H652="","",'Kat. I'!$I652)</f>
        <v>0</v>
      </c>
      <c r="N108" s="170">
        <f ca="1">IF('Kat. I'!$H712="","",'Kat. I'!$I712)</f>
        <v>0</v>
      </c>
      <c r="O108" s="170">
        <f t="shared" ca="1" si="2"/>
        <v>0</v>
      </c>
    </row>
    <row r="109" spans="1:15" ht="9.9499999999999993" customHeight="1">
      <c r="A109" s="133">
        <f>IF('Kat. I'!F53="","",'Kat. I'!F53)</f>
        <v>246</v>
      </c>
      <c r="B109" s="134" t="str">
        <f>IF('Kat. I'!H53="","",'Kat. I'!H53)</f>
        <v>Erwachsenenbildung</v>
      </c>
      <c r="C109" s="170">
        <f ca="1">IF('Kat. I'!$H53="","",'Kat. I'!$I53)</f>
        <v>0</v>
      </c>
      <c r="D109" s="170">
        <f ca="1">IF('Kat. I'!$H113="","",'Kat. I'!$I113)</f>
        <v>0</v>
      </c>
      <c r="E109" s="170">
        <f ca="1">IF('Kat. I'!$H173="","",'Kat. I'!$I173)</f>
        <v>0</v>
      </c>
      <c r="F109" s="170">
        <f ca="1">IF('Kat. I'!$H233="","",'Kat. I'!$I233)</f>
        <v>0</v>
      </c>
      <c r="G109" s="170">
        <f ca="1">IF('Kat. I'!$H293="","",'Kat. I'!$I293)</f>
        <v>0</v>
      </c>
      <c r="H109" s="170">
        <f ca="1">IF('Kat. I'!$H353="","",'Kat. I'!$I353)</f>
        <v>0</v>
      </c>
      <c r="I109" s="170">
        <f ca="1">IF('Kat. I'!$H413="","",'Kat. I'!$I413)</f>
        <v>0</v>
      </c>
      <c r="J109" s="170">
        <f ca="1">IF('Kat. I'!$H473="","",'Kat. I'!$I473)</f>
        <v>0</v>
      </c>
      <c r="K109" s="170">
        <f ca="1">IF('Kat. I'!$H533="","",'Kat. I'!$I533)</f>
        <v>0</v>
      </c>
      <c r="L109" s="170">
        <f ca="1">IF('Kat. I'!$H593="","",'Kat. I'!$I593)</f>
        <v>0</v>
      </c>
      <c r="M109" s="170">
        <f ca="1">IF('Kat. I'!$H653="","",'Kat. I'!$I653)</f>
        <v>0</v>
      </c>
      <c r="N109" s="170">
        <f ca="1">IF('Kat. I'!$H713="","",'Kat. I'!$I713)</f>
        <v>0</v>
      </c>
      <c r="O109" s="170">
        <f t="shared" ca="1" si="2"/>
        <v>0</v>
      </c>
    </row>
    <row r="110" spans="1:15" ht="9.9499999999999993" customHeight="1">
      <c r="A110" s="133">
        <f>IF('Kat. I'!F54="","",'Kat. I'!F54)</f>
        <v>247</v>
      </c>
      <c r="B110" s="134" t="str">
        <f>IF('Kat. I'!H54="","",'Kat. I'!H54)</f>
        <v>Diverse Privatausgaben</v>
      </c>
      <c r="C110" s="170">
        <f ca="1">IF('Kat. I'!$H54="","",'Kat. I'!$I54)</f>
        <v>0</v>
      </c>
      <c r="D110" s="170">
        <f ca="1">IF('Kat. I'!$H114="","",'Kat. I'!$I114)</f>
        <v>0</v>
      </c>
      <c r="E110" s="170">
        <f ca="1">IF('Kat. I'!$H174="","",'Kat. I'!$I174)</f>
        <v>0</v>
      </c>
      <c r="F110" s="170">
        <f ca="1">IF('Kat. I'!$H234="","",'Kat. I'!$I234)</f>
        <v>0</v>
      </c>
      <c r="G110" s="170">
        <f ca="1">IF('Kat. I'!$H294="","",'Kat. I'!$I294)</f>
        <v>0</v>
      </c>
      <c r="H110" s="170">
        <f ca="1">IF('Kat. I'!$H354="","",'Kat. I'!$I354)</f>
        <v>0</v>
      </c>
      <c r="I110" s="170">
        <f ca="1">IF('Kat. I'!$H414="","",'Kat. I'!$I414)</f>
        <v>0</v>
      </c>
      <c r="J110" s="170">
        <f ca="1">IF('Kat. I'!$H474="","",'Kat. I'!$I474)</f>
        <v>0</v>
      </c>
      <c r="K110" s="170">
        <f ca="1">IF('Kat. I'!$H534="","",'Kat. I'!$I534)</f>
        <v>0</v>
      </c>
      <c r="L110" s="170">
        <f ca="1">IF('Kat. I'!$H594="","",'Kat. I'!$I594)</f>
        <v>0</v>
      </c>
      <c r="M110" s="170">
        <f ca="1">IF('Kat. I'!$H654="","",'Kat. I'!$I654)</f>
        <v>0</v>
      </c>
      <c r="N110" s="170">
        <f ca="1">IF('Kat. I'!$H714="","",'Kat. I'!$I714)</f>
        <v>0</v>
      </c>
      <c r="O110" s="170">
        <f t="shared" ca="1" si="2"/>
        <v>0</v>
      </c>
    </row>
    <row r="111" spans="1:15" ht="9.9499999999999993" customHeight="1">
      <c r="A111" s="133">
        <f>IF('Kat. I'!F55="","",'Kat. I'!F55)</f>
        <v>248</v>
      </c>
      <c r="B111" s="134" t="str">
        <f>IF('Kat. I'!H55="","",'Kat. I'!H55)</f>
        <v>Private Vereinsbeiträge</v>
      </c>
      <c r="C111" s="170">
        <f ca="1">IF('Kat. I'!$H55="","",'Kat. I'!$I55)</f>
        <v>0</v>
      </c>
      <c r="D111" s="170">
        <f ca="1">IF('Kat. I'!$H115="","",'Kat. I'!$I115)</f>
        <v>0</v>
      </c>
      <c r="E111" s="170">
        <f ca="1">IF('Kat. I'!$H175="","",'Kat. I'!$I175)</f>
        <v>0</v>
      </c>
      <c r="F111" s="170">
        <f ca="1">IF('Kat. I'!$H235="","",'Kat. I'!$I235)</f>
        <v>0</v>
      </c>
      <c r="G111" s="170">
        <f ca="1">IF('Kat. I'!$H295="","",'Kat. I'!$I295)</f>
        <v>0</v>
      </c>
      <c r="H111" s="170">
        <f ca="1">IF('Kat. I'!$H355="","",'Kat. I'!$I355)</f>
        <v>0</v>
      </c>
      <c r="I111" s="170">
        <f ca="1">IF('Kat. I'!$H415="","",'Kat. I'!$I415)</f>
        <v>0</v>
      </c>
      <c r="J111" s="170">
        <f ca="1">IF('Kat. I'!$H475="","",'Kat. I'!$I475)</f>
        <v>0</v>
      </c>
      <c r="K111" s="170">
        <f ca="1">IF('Kat. I'!$H535="","",'Kat. I'!$I535)</f>
        <v>0</v>
      </c>
      <c r="L111" s="170">
        <f ca="1">IF('Kat. I'!$H595="","",'Kat. I'!$I595)</f>
        <v>0</v>
      </c>
      <c r="M111" s="170">
        <f ca="1">IF('Kat. I'!$H655="","",'Kat. I'!$I655)</f>
        <v>0</v>
      </c>
      <c r="N111" s="170">
        <f ca="1">IF('Kat. I'!$H715="","",'Kat. I'!$I715)</f>
        <v>0</v>
      </c>
      <c r="O111" s="170">
        <f t="shared" ca="1" si="2"/>
        <v>0</v>
      </c>
    </row>
    <row r="112" spans="1:15" ht="9.9499999999999993" customHeight="1">
      <c r="A112" s="133">
        <f>IF('Kat. I'!F56="","",'Kat. I'!F56)</f>
        <v>249</v>
      </c>
      <c r="B112" s="134" t="str">
        <f>IF('Kat. I'!H56="","",'Kat. I'!H56)</f>
        <v>Spesen Vermögensverwaltung</v>
      </c>
      <c r="C112" s="170">
        <f ca="1">IF('Kat. I'!$H56="","",'Kat. I'!$I56)</f>
        <v>0</v>
      </c>
      <c r="D112" s="170">
        <f ca="1">IF('Kat. I'!$H116="","",'Kat. I'!$I116)</f>
        <v>0</v>
      </c>
      <c r="E112" s="170">
        <f ca="1">IF('Kat. I'!$H176="","",'Kat. I'!$I176)</f>
        <v>0</v>
      </c>
      <c r="F112" s="170">
        <f ca="1">IF('Kat. I'!$H236="","",'Kat. I'!$I236)</f>
        <v>0</v>
      </c>
      <c r="G112" s="170">
        <f ca="1">IF('Kat. I'!$H296="","",'Kat. I'!$I296)</f>
        <v>0</v>
      </c>
      <c r="H112" s="170">
        <f ca="1">IF('Kat. I'!$H356="","",'Kat. I'!$I356)</f>
        <v>0</v>
      </c>
      <c r="I112" s="170">
        <f ca="1">IF('Kat. I'!$H416="","",'Kat. I'!$I416)</f>
        <v>0</v>
      </c>
      <c r="J112" s="170">
        <f ca="1">IF('Kat. I'!$H476="","",'Kat. I'!$I476)</f>
        <v>0</v>
      </c>
      <c r="K112" s="170">
        <f ca="1">IF('Kat. I'!$H536="","",'Kat. I'!$I536)</f>
        <v>0</v>
      </c>
      <c r="L112" s="170">
        <f ca="1">IF('Kat. I'!$H596="","",'Kat. I'!$I596)</f>
        <v>0</v>
      </c>
      <c r="M112" s="170">
        <f ca="1">IF('Kat. I'!$H656="","",'Kat. I'!$I656)</f>
        <v>0</v>
      </c>
      <c r="N112" s="170">
        <f ca="1">IF('Kat. I'!$H716="","",'Kat. I'!$I716)</f>
        <v>0</v>
      </c>
      <c r="O112" s="170">
        <f t="shared" ca="1" si="2"/>
        <v>0</v>
      </c>
    </row>
    <row r="113" spans="1:15" ht="9.9499999999999993" customHeight="1" thickBot="1">
      <c r="A113" s="133">
        <f>IF('Kat. I'!F57="","",'Kat. I'!F57)</f>
        <v>250</v>
      </c>
      <c r="B113" s="134" t="str">
        <f>IF('Kat. I'!H57="","",'Kat. I'!H57)</f>
        <v>Steuern</v>
      </c>
      <c r="C113" s="170">
        <f ca="1">IF('Kat. I'!$H57="","",'Kat. I'!$I57)</f>
        <v>-1500</v>
      </c>
      <c r="D113" s="170">
        <f ca="1">IF('Kat. I'!$H117="","",'Kat. I'!$I117)</f>
        <v>0</v>
      </c>
      <c r="E113" s="170">
        <f ca="1">IF('Kat. I'!$H177="","",'Kat. I'!$I177)</f>
        <v>0</v>
      </c>
      <c r="F113" s="170">
        <f ca="1">IF('Kat. I'!$H237="","",'Kat. I'!$I237)</f>
        <v>0</v>
      </c>
      <c r="G113" s="170">
        <f ca="1">IF('Kat. I'!$H297="","",'Kat. I'!$I297)</f>
        <v>0</v>
      </c>
      <c r="H113" s="170">
        <f ca="1">IF('Kat. I'!$H357="","",'Kat. I'!$I357)</f>
        <v>0</v>
      </c>
      <c r="I113" s="170">
        <f ca="1">IF('Kat. I'!$H417="","",'Kat. I'!$I417)</f>
        <v>0</v>
      </c>
      <c r="J113" s="170">
        <f ca="1">IF('Kat. I'!$H477="","",'Kat. I'!$I477)</f>
        <v>0</v>
      </c>
      <c r="K113" s="170">
        <f ca="1">IF('Kat. I'!$H537="","",'Kat. I'!$I537)</f>
        <v>0</v>
      </c>
      <c r="L113" s="170">
        <f ca="1">IF('Kat. I'!$H597="","",'Kat. I'!$I597)</f>
        <v>0</v>
      </c>
      <c r="M113" s="170">
        <f ca="1">IF('Kat. I'!$H657="","",'Kat. I'!$I657)</f>
        <v>0</v>
      </c>
      <c r="N113" s="170">
        <f ca="1">IF('Kat. I'!$H717="","",'Kat. I'!$I717)</f>
        <v>0</v>
      </c>
      <c r="O113" s="170">
        <f t="shared" ca="1" si="2"/>
        <v>-1500</v>
      </c>
    </row>
    <row r="114" spans="1:15" ht="9.9499999999999993" customHeight="1" thickTop="1" thickBot="1">
      <c r="A114" s="135" t="s">
        <v>39</v>
      </c>
      <c r="B114" s="136"/>
      <c r="C114" s="144">
        <f ca="1">SUM(C63:C113)</f>
        <v>-2410</v>
      </c>
      <c r="D114" s="144">
        <f t="shared" ref="D114:O114" ca="1" si="3">SUM(D63:D113)</f>
        <v>0</v>
      </c>
      <c r="E114" s="144">
        <f t="shared" ca="1" si="3"/>
        <v>0</v>
      </c>
      <c r="F114" s="144">
        <f t="shared" ca="1" si="3"/>
        <v>0</v>
      </c>
      <c r="G114" s="144">
        <f t="shared" ca="1" si="3"/>
        <v>0</v>
      </c>
      <c r="H114" s="144">
        <f t="shared" ca="1" si="3"/>
        <v>0</v>
      </c>
      <c r="I114" s="144">
        <f t="shared" ca="1" si="3"/>
        <v>0</v>
      </c>
      <c r="J114" s="144">
        <f t="shared" ca="1" si="3"/>
        <v>0</v>
      </c>
      <c r="K114" s="144">
        <f t="shared" ca="1" si="3"/>
        <v>0</v>
      </c>
      <c r="L114" s="144">
        <f t="shared" ca="1" si="3"/>
        <v>0</v>
      </c>
      <c r="M114" s="144">
        <f t="shared" ca="1" si="3"/>
        <v>0</v>
      </c>
      <c r="N114" s="146">
        <f t="shared" ca="1" si="3"/>
        <v>0</v>
      </c>
      <c r="O114" s="137">
        <f t="shared" ca="1" si="3"/>
        <v>-2410</v>
      </c>
    </row>
    <row r="115" spans="1:15" ht="9.9499999999999993" customHeight="1" thickTop="1">
      <c r="A115" s="138" t="s">
        <v>109</v>
      </c>
      <c r="B115" s="139"/>
      <c r="C115" s="147">
        <f ca="1">'Kat. I'!$I59</f>
        <v>-2410</v>
      </c>
      <c r="D115" s="147">
        <f ca="1">'Kat. I'!$I119</f>
        <v>0</v>
      </c>
      <c r="E115" s="147">
        <f ca="1">'Kat. I'!$I179</f>
        <v>0</v>
      </c>
      <c r="F115" s="147">
        <f ca="1">'Kat. I'!$I239</f>
        <v>0</v>
      </c>
      <c r="G115" s="147">
        <f ca="1">'Kat. I'!$I299</f>
        <v>0</v>
      </c>
      <c r="H115" s="147">
        <f ca="1">'Kat. I'!$I359</f>
        <v>0</v>
      </c>
      <c r="I115" s="147">
        <f ca="1">'Kat. I'!$I419</f>
        <v>0</v>
      </c>
      <c r="J115" s="147">
        <f ca="1">'Kat. I'!$I479</f>
        <v>0</v>
      </c>
      <c r="K115" s="147">
        <f ca="1">'Kat. I'!$I539</f>
        <v>0</v>
      </c>
      <c r="L115" s="147">
        <f ca="1">'Kat. I'!$I599</f>
        <v>0</v>
      </c>
      <c r="M115" s="147">
        <f ca="1">'Kat. I'!$I659</f>
        <v>0</v>
      </c>
      <c r="N115" s="147">
        <f ca="1">'Kat. I'!$I719</f>
        <v>0</v>
      </c>
      <c r="O115" s="147">
        <f ca="1">'Kat. I'!$I779</f>
        <v>-2410</v>
      </c>
    </row>
  </sheetData>
  <sheetProtection sheet="1" objects="1" scenarios="1"/>
  <phoneticPr fontId="11" type="noConversion"/>
  <printOptions horizontalCentered="1"/>
  <pageMargins left="0" right="0" top="0.39370078740157483" bottom="0" header="0" footer="0"/>
  <pageSetup paperSize="9" orientation="landscape" horizontalDpi="300" verticalDpi="300" r:id="rId1"/>
  <headerFooter alignWithMargins="0"/>
  <rowBreaks count="2" manualBreakCount="2">
    <brk id="57" max="16383" man="1"/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G122"/>
  <sheetViews>
    <sheetView workbookViewId="0"/>
  </sheetViews>
  <sheetFormatPr baseColWidth="10" defaultRowHeight="12.75"/>
  <cols>
    <col min="1" max="1" width="33.7109375" style="2" customWidth="1"/>
    <col min="2" max="7" width="10.7109375" style="2" customWidth="1"/>
    <col min="8" max="16384" width="11.42578125" style="2"/>
  </cols>
  <sheetData>
    <row r="1" spans="1:7" ht="15.75">
      <c r="A1" s="206" t="str">
        <f>"Abschluss Teil 10.1: Einkommensrechnung "&amp;"Jahr "&amp;'Kat. I'!$A$2</f>
        <v xml:space="preserve">Abschluss Teil 10.1: Einkommensrechnung Jahr </v>
      </c>
    </row>
    <row r="2" spans="1:7">
      <c r="A2" s="209" t="s">
        <v>213</v>
      </c>
    </row>
    <row r="3" spans="1:7">
      <c r="A3" s="220" t="s">
        <v>12</v>
      </c>
    </row>
    <row r="4" spans="1:7" ht="39.950000000000003" customHeight="1" thickBot="1"/>
    <row r="5" spans="1:7">
      <c r="A5" s="234"/>
      <c r="B5" s="435" t="s">
        <v>191</v>
      </c>
      <c r="C5" s="436"/>
      <c r="D5" s="437"/>
      <c r="E5" s="435" t="s">
        <v>167</v>
      </c>
      <c r="F5" s="436"/>
      <c r="G5" s="437"/>
    </row>
    <row r="6" spans="1:7" ht="13.5" thickBot="1">
      <c r="A6" s="235"/>
      <c r="B6" s="236" t="s">
        <v>200</v>
      </c>
      <c r="C6" s="237" t="s">
        <v>201</v>
      </c>
      <c r="D6" s="238" t="s">
        <v>202</v>
      </c>
      <c r="E6" s="236" t="s">
        <v>200</v>
      </c>
      <c r="F6" s="237" t="s">
        <v>201</v>
      </c>
      <c r="G6" s="238" t="s">
        <v>202</v>
      </c>
    </row>
    <row r="7" spans="1:7" ht="13.5" thickBot="1"/>
    <row r="8" spans="1:7" ht="13.5" thickBot="1">
      <c r="A8" s="239" t="s">
        <v>221</v>
      </c>
      <c r="B8" s="302">
        <f>Trennung!D11</f>
        <v>0</v>
      </c>
      <c r="C8" s="303">
        <f>Trennung!K11</f>
        <v>0</v>
      </c>
      <c r="D8" s="263">
        <f>B8+C8</f>
        <v>0</v>
      </c>
      <c r="E8" s="302">
        <f>Trennung!E11</f>
        <v>1900.75</v>
      </c>
      <c r="F8" s="303">
        <f>Trennung!L11</f>
        <v>-2410</v>
      </c>
      <c r="G8" s="263">
        <f>E8+F8</f>
        <v>-509.25</v>
      </c>
    </row>
    <row r="9" spans="1:7" ht="13.5" thickBot="1"/>
    <row r="10" spans="1:7">
      <c r="A10" s="227" t="s">
        <v>214</v>
      </c>
      <c r="B10" s="240" t="s">
        <v>208</v>
      </c>
      <c r="C10" s="229" t="s">
        <v>209</v>
      </c>
      <c r="D10" s="230" t="s">
        <v>205</v>
      </c>
      <c r="E10" s="240" t="s">
        <v>208</v>
      </c>
      <c r="F10" s="229" t="s">
        <v>209</v>
      </c>
      <c r="G10" s="230" t="s">
        <v>205</v>
      </c>
    </row>
    <row r="11" spans="1:7">
      <c r="A11" s="228"/>
      <c r="B11" s="225"/>
      <c r="C11" s="223"/>
      <c r="D11" s="304" t="str">
        <f>IF(A11="","",B11+C11)</f>
        <v/>
      </c>
      <c r="E11" s="250"/>
      <c r="F11" s="223"/>
      <c r="G11" s="304" t="str">
        <f>IF(A11="","",E11+F11)</f>
        <v/>
      </c>
    </row>
    <row r="12" spans="1:7">
      <c r="A12" s="228"/>
      <c r="B12" s="225"/>
      <c r="C12" s="223"/>
      <c r="D12" s="304" t="str">
        <f t="shared" ref="D12:D20" si="0">IF(A12="","",B12+C12)</f>
        <v/>
      </c>
      <c r="E12" s="250"/>
      <c r="F12" s="223"/>
      <c r="G12" s="304" t="str">
        <f t="shared" ref="G12:G20" si="1">IF(A12="","",E12+F12)</f>
        <v/>
      </c>
    </row>
    <row r="13" spans="1:7">
      <c r="A13" s="228" t="s">
        <v>3</v>
      </c>
      <c r="B13" s="225"/>
      <c r="C13" s="223"/>
      <c r="D13" s="304">
        <f t="shared" si="0"/>
        <v>0</v>
      </c>
      <c r="E13" s="250"/>
      <c r="F13" s="223"/>
      <c r="G13" s="304">
        <f t="shared" si="1"/>
        <v>0</v>
      </c>
    </row>
    <row r="14" spans="1:7">
      <c r="A14" s="228"/>
      <c r="B14" s="225"/>
      <c r="C14" s="223"/>
      <c r="D14" s="304" t="str">
        <f t="shared" si="0"/>
        <v/>
      </c>
      <c r="E14" s="250"/>
      <c r="F14" s="223"/>
      <c r="G14" s="304" t="str">
        <f t="shared" si="1"/>
        <v/>
      </c>
    </row>
    <row r="15" spans="1:7">
      <c r="A15" s="228"/>
      <c r="B15" s="225"/>
      <c r="C15" s="223"/>
      <c r="D15" s="304" t="str">
        <f t="shared" si="0"/>
        <v/>
      </c>
      <c r="E15" s="250"/>
      <c r="F15" s="223"/>
      <c r="G15" s="304" t="str">
        <f t="shared" si="1"/>
        <v/>
      </c>
    </row>
    <row r="16" spans="1:7">
      <c r="A16" s="228"/>
      <c r="B16" s="225"/>
      <c r="C16" s="223"/>
      <c r="D16" s="304" t="str">
        <f t="shared" si="0"/>
        <v/>
      </c>
      <c r="E16" s="250"/>
      <c r="F16" s="223"/>
      <c r="G16" s="304" t="str">
        <f t="shared" si="1"/>
        <v/>
      </c>
    </row>
    <row r="17" spans="1:7">
      <c r="A17" s="249"/>
      <c r="B17" s="225"/>
      <c r="C17" s="223"/>
      <c r="D17" s="304" t="str">
        <f t="shared" si="0"/>
        <v/>
      </c>
      <c r="E17" s="250"/>
      <c r="F17" s="223"/>
      <c r="G17" s="304" t="str">
        <f t="shared" si="1"/>
        <v/>
      </c>
    </row>
    <row r="18" spans="1:7">
      <c r="A18" s="228" t="s">
        <v>4</v>
      </c>
      <c r="B18" s="225"/>
      <c r="C18" s="223"/>
      <c r="D18" s="304">
        <f t="shared" si="0"/>
        <v>0</v>
      </c>
      <c r="E18" s="250"/>
      <c r="F18" s="223"/>
      <c r="G18" s="304">
        <f t="shared" si="1"/>
        <v>0</v>
      </c>
    </row>
    <row r="19" spans="1:7">
      <c r="A19" s="249" t="s">
        <v>5</v>
      </c>
      <c r="B19" s="225"/>
      <c r="C19" s="223"/>
      <c r="D19" s="304">
        <f t="shared" si="0"/>
        <v>0</v>
      </c>
      <c r="E19" s="250"/>
      <c r="F19" s="223"/>
      <c r="G19" s="304">
        <f t="shared" si="1"/>
        <v>0</v>
      </c>
    </row>
    <row r="20" spans="1:7" ht="13.5" thickBot="1">
      <c r="A20" s="249" t="s">
        <v>6</v>
      </c>
      <c r="B20" s="250"/>
      <c r="C20" s="226"/>
      <c r="D20" s="305">
        <f t="shared" si="0"/>
        <v>0</v>
      </c>
      <c r="E20" s="250"/>
      <c r="F20" s="226"/>
      <c r="G20" s="305">
        <f t="shared" si="1"/>
        <v>0</v>
      </c>
    </row>
    <row r="21" spans="1:7" ht="13.5" thickBot="1">
      <c r="A21" s="239" t="s">
        <v>215</v>
      </c>
      <c r="B21" s="302">
        <f t="shared" ref="B21:G21" si="2">SUM(B11:B20)</f>
        <v>0</v>
      </c>
      <c r="C21" s="303">
        <f t="shared" si="2"/>
        <v>0</v>
      </c>
      <c r="D21" s="263">
        <f t="shared" si="2"/>
        <v>0</v>
      </c>
      <c r="E21" s="302">
        <f t="shared" si="2"/>
        <v>0</v>
      </c>
      <c r="F21" s="303">
        <f t="shared" si="2"/>
        <v>0</v>
      </c>
      <c r="G21" s="263">
        <f t="shared" si="2"/>
        <v>0</v>
      </c>
    </row>
    <row r="22" spans="1:7" ht="13.5" thickBot="1">
      <c r="A22" s="221"/>
      <c r="B22" s="221"/>
      <c r="C22" s="221"/>
      <c r="D22" s="221"/>
      <c r="E22" s="221"/>
      <c r="F22" s="221"/>
      <c r="G22" s="222"/>
    </row>
    <row r="23" spans="1:7">
      <c r="A23" s="231" t="s">
        <v>204</v>
      </c>
      <c r="B23" s="233" t="s">
        <v>210</v>
      </c>
      <c r="C23" s="229" t="s">
        <v>211</v>
      </c>
      <c r="D23" s="230" t="s">
        <v>212</v>
      </c>
      <c r="E23" s="222"/>
      <c r="G23" s="222"/>
    </row>
    <row r="24" spans="1:7">
      <c r="A24" s="232"/>
      <c r="B24" s="241"/>
      <c r="C24" s="223"/>
      <c r="D24" s="304" t="str">
        <f>IF(A24="","",C24-B24)</f>
        <v/>
      </c>
      <c r="G24" s="222"/>
    </row>
    <row r="25" spans="1:7">
      <c r="A25" s="232"/>
      <c r="B25" s="241"/>
      <c r="C25" s="223"/>
      <c r="D25" s="304" t="str">
        <f t="shared" ref="D25:D36" si="3">IF(A25="","",C25-B25)</f>
        <v/>
      </c>
      <c r="G25" s="222"/>
    </row>
    <row r="26" spans="1:7">
      <c r="A26" s="232" t="s">
        <v>203</v>
      </c>
      <c r="B26" s="241"/>
      <c r="C26" s="223"/>
      <c r="D26" s="304">
        <f t="shared" si="3"/>
        <v>0</v>
      </c>
      <c r="G26" s="222"/>
    </row>
    <row r="27" spans="1:7">
      <c r="A27" s="232"/>
      <c r="B27" s="241"/>
      <c r="C27" s="223"/>
      <c r="D27" s="304" t="str">
        <f t="shared" si="3"/>
        <v/>
      </c>
      <c r="F27" s="208"/>
      <c r="G27" s="222"/>
    </row>
    <row r="28" spans="1:7">
      <c r="A28" s="232"/>
      <c r="B28" s="241"/>
      <c r="C28" s="223"/>
      <c r="D28" s="304" t="str">
        <f t="shared" si="3"/>
        <v/>
      </c>
      <c r="F28" s="208"/>
    </row>
    <row r="29" spans="1:7">
      <c r="A29" s="232"/>
      <c r="B29" s="241"/>
      <c r="C29" s="223"/>
      <c r="D29" s="304" t="str">
        <f t="shared" si="3"/>
        <v/>
      </c>
      <c r="F29" s="208"/>
    </row>
    <row r="30" spans="1:7">
      <c r="A30" s="232"/>
      <c r="B30" s="241"/>
      <c r="C30" s="223"/>
      <c r="D30" s="304" t="str">
        <f t="shared" si="3"/>
        <v/>
      </c>
      <c r="F30" s="208"/>
    </row>
    <row r="31" spans="1:7">
      <c r="A31" s="232"/>
      <c r="B31" s="241"/>
      <c r="C31" s="223"/>
      <c r="D31" s="304" t="str">
        <f t="shared" si="3"/>
        <v/>
      </c>
      <c r="F31" s="208"/>
    </row>
    <row r="32" spans="1:7">
      <c r="A32" s="232"/>
      <c r="B32" s="241"/>
      <c r="C32" s="223"/>
      <c r="D32" s="304" t="str">
        <f t="shared" si="3"/>
        <v/>
      </c>
      <c r="F32" s="208"/>
    </row>
    <row r="33" spans="1:7">
      <c r="A33" s="248"/>
      <c r="B33" s="243"/>
      <c r="C33" s="226"/>
      <c r="D33" s="304" t="str">
        <f t="shared" si="3"/>
        <v/>
      </c>
      <c r="F33" s="208"/>
    </row>
    <row r="34" spans="1:7">
      <c r="A34" s="248"/>
      <c r="B34" s="243"/>
      <c r="C34" s="226"/>
      <c r="D34" s="304" t="str">
        <f t="shared" si="3"/>
        <v/>
      </c>
      <c r="F34" s="208"/>
    </row>
    <row r="35" spans="1:7">
      <c r="A35" s="248"/>
      <c r="B35" s="243"/>
      <c r="C35" s="226"/>
      <c r="D35" s="304" t="str">
        <f t="shared" si="3"/>
        <v/>
      </c>
      <c r="F35" s="208"/>
    </row>
    <row r="36" spans="1:7" ht="13.5" thickBot="1">
      <c r="A36" s="248"/>
      <c r="B36" s="243"/>
      <c r="C36" s="226"/>
      <c r="D36" s="305" t="str">
        <f t="shared" si="3"/>
        <v/>
      </c>
      <c r="F36" s="208"/>
    </row>
    <row r="37" spans="1:7" ht="13.5" thickBot="1">
      <c r="A37" s="247" t="s">
        <v>216</v>
      </c>
      <c r="B37" s="262">
        <f>SUM(B24:B36)</f>
        <v>0</v>
      </c>
      <c r="C37" s="303">
        <f>SUM(C24:C36)</f>
        <v>0</v>
      </c>
      <c r="D37" s="263">
        <f>SUM(D24:D36)</f>
        <v>0</v>
      </c>
      <c r="F37" s="208"/>
    </row>
    <row r="38" spans="1:7" ht="13.5" thickBot="1"/>
    <row r="39" spans="1:7" ht="13.5" thickBot="1">
      <c r="A39" s="258" t="s">
        <v>217</v>
      </c>
      <c r="B39" s="262">
        <f>B8+B21+B37</f>
        <v>0</v>
      </c>
      <c r="C39" s="303">
        <f>C8+C21+C37</f>
        <v>0</v>
      </c>
      <c r="D39" s="263">
        <f>D8+D21+D37</f>
        <v>0</v>
      </c>
      <c r="E39" s="302">
        <f>E8+E21</f>
        <v>1900.75</v>
      </c>
      <c r="F39" s="303">
        <f>F8+F21</f>
        <v>-2410</v>
      </c>
      <c r="G39" s="263">
        <f>G8+G21</f>
        <v>-509.25</v>
      </c>
    </row>
    <row r="40" spans="1:7">
      <c r="A40" s="255" t="s">
        <v>245</v>
      </c>
      <c r="B40" s="256"/>
      <c r="C40" s="256"/>
      <c r="D40" s="256"/>
      <c r="E40" s="256"/>
      <c r="F40" s="257"/>
      <c r="G40" s="223"/>
    </row>
    <row r="41" spans="1:7" ht="13.5" thickBot="1"/>
    <row r="42" spans="1:7" ht="14.25" thickTop="1" thickBot="1">
      <c r="A42" s="325" t="s">
        <v>1</v>
      </c>
      <c r="B42" s="76"/>
      <c r="C42" s="326"/>
      <c r="D42" s="324">
        <f>D39</f>
        <v>0</v>
      </c>
      <c r="E42" s="259"/>
      <c r="F42" s="323" t="s">
        <v>243</v>
      </c>
      <c r="G42" s="306">
        <f>SUM(G39:G40)</f>
        <v>-509.25</v>
      </c>
    </row>
    <row r="43" spans="1:7" ht="13.5" thickTop="1"/>
    <row r="44" spans="1:7">
      <c r="A44" s="2" t="s">
        <v>0</v>
      </c>
      <c r="G44" s="367">
        <f>D42+G42</f>
        <v>-509.25</v>
      </c>
    </row>
    <row r="45" spans="1:7" ht="13.5" thickBot="1"/>
    <row r="46" spans="1:7" ht="13.5" thickBot="1">
      <c r="A46" s="224" t="s">
        <v>219</v>
      </c>
      <c r="B46" s="76"/>
      <c r="C46" s="76"/>
      <c r="D46" s="76"/>
      <c r="E46" s="76"/>
      <c r="F46" s="76"/>
      <c r="G46" s="365">
        <f>D42+G42</f>
        <v>-509.25</v>
      </c>
    </row>
    <row r="47" spans="1:7">
      <c r="A47" s="261" t="s">
        <v>15</v>
      </c>
      <c r="G47" s="260">
        <f ca="1">G121</f>
        <v>-509.25</v>
      </c>
    </row>
    <row r="48" spans="1:7" ht="9.9499999999999993" customHeight="1"/>
    <row r="49" spans="1:1" ht="9.9499999999999993" customHeight="1"/>
    <row r="50" spans="1:1" ht="9.9499999999999993" customHeight="1"/>
    <row r="51" spans="1:1" ht="9.9499999999999993" customHeight="1"/>
    <row r="52" spans="1:1" ht="9.9499999999999993" customHeight="1"/>
    <row r="53" spans="1:1" ht="9.9499999999999993" customHeight="1"/>
    <row r="54" spans="1:1" ht="9.9499999999999993" customHeight="1"/>
    <row r="55" spans="1:1" ht="9.9499999999999993" customHeight="1"/>
    <row r="56" spans="1:1" ht="9.9499999999999993" customHeight="1"/>
    <row r="57" spans="1:1" ht="9.9499999999999993" customHeight="1"/>
    <row r="58" spans="1:1" ht="9.9499999999999993" customHeight="1"/>
    <row r="59" spans="1:1" ht="9.9499999999999993" customHeight="1"/>
    <row r="60" spans="1:1" ht="9.9499999999999993" customHeight="1"/>
    <row r="61" spans="1:1" ht="9.9499999999999993" customHeight="1"/>
    <row r="62" spans="1:1" ht="9.9499999999999993" customHeight="1"/>
    <row r="63" spans="1:1" ht="15.75">
      <c r="A63" s="206" t="str">
        <f>"Abschluss Teil 10.2: Vermögensrechnung "&amp;"Jahr "&amp;'Kat. I'!$A$2</f>
        <v xml:space="preserve">Abschluss Teil 10.2: Vermögensrechnung Jahr </v>
      </c>
    </row>
    <row r="64" spans="1:1">
      <c r="A64" s="209" t="s">
        <v>222</v>
      </c>
    </row>
    <row r="65" spans="1:7">
      <c r="A65" s="220" t="s">
        <v>270</v>
      </c>
    </row>
    <row r="67" spans="1:7" ht="13.5" thickBot="1"/>
    <row r="68" spans="1:7">
      <c r="A68" s="340"/>
      <c r="B68" s="332"/>
      <c r="C68" s="333"/>
      <c r="D68" s="435" t="str">
        <f>"Anfang "&amp;"Jahr "&amp;'Kat. I'!$A$2</f>
        <v xml:space="preserve">Anfang Jahr </v>
      </c>
      <c r="E68" s="437"/>
      <c r="F68" s="435" t="str">
        <f>"Ende "&amp;"Jahr "&amp;'Kat. I'!$A$2</f>
        <v xml:space="preserve">Ende Jahr </v>
      </c>
      <c r="G68" s="437"/>
    </row>
    <row r="69" spans="1:7" ht="13.5" thickBot="1">
      <c r="A69" s="329"/>
      <c r="B69" s="334"/>
      <c r="C69" s="351"/>
      <c r="D69" s="246" t="s">
        <v>176</v>
      </c>
      <c r="E69" s="245" t="s">
        <v>177</v>
      </c>
      <c r="F69" s="246" t="s">
        <v>176</v>
      </c>
      <c r="G69" s="245" t="s">
        <v>177</v>
      </c>
    </row>
    <row r="70" spans="1:7">
      <c r="A70" s="231" t="str">
        <f>" 1 "&amp;Trennung!Q16</f>
        <v xml:space="preserve"> 1 Kasse </v>
      </c>
      <c r="B70" s="355"/>
      <c r="C70" s="356"/>
      <c r="D70" s="307">
        <f ca="1">IF(Trennung!S16&gt;=0,Trennung!S16,"")</f>
        <v>1000</v>
      </c>
      <c r="E70" s="266" t="str">
        <f ca="1">IF(Trennung!S16&lt;0,Trennung!S16-2*Trennung!S16,"")</f>
        <v/>
      </c>
      <c r="F70" s="307">
        <f ca="1">IF(Trennung!X16&gt;=0,Trennung!X16,"")</f>
        <v>1560.75</v>
      </c>
      <c r="G70" s="266" t="str">
        <f ca="1">IF(Trennung!X16&lt;0,Trennung!X16-2*Trennung!X16,"")</f>
        <v/>
      </c>
    </row>
    <row r="71" spans="1:7">
      <c r="A71" s="360" t="str">
        <f>" 2 "&amp;Trennung!Q17</f>
        <v xml:space="preserve"> 2 Lohnkonto </v>
      </c>
      <c r="B71" s="76"/>
      <c r="C71" s="357"/>
      <c r="D71" s="308">
        <f ca="1">IF(Trennung!S17&gt;=0,Trennung!S17,"")</f>
        <v>1000</v>
      </c>
      <c r="E71" s="266" t="str">
        <f ca="1">IF(Trennung!S17&lt;0,Trennung!S17-2*Trennung!S17,"")</f>
        <v/>
      </c>
      <c r="F71" s="308" t="str">
        <f ca="1">IF(Trennung!X17&gt;=0,Trennung!X17,"")</f>
        <v/>
      </c>
      <c r="G71" s="266">
        <f ca="1">IF(Trennung!X17&lt;0,Trennung!X17-2*Trennung!X17,"")</f>
        <v>70</v>
      </c>
    </row>
    <row r="72" spans="1:7">
      <c r="A72" s="360" t="str">
        <f>" 3 "&amp;Trennung!Q18</f>
        <v xml:space="preserve"> 3  </v>
      </c>
      <c r="B72" s="76"/>
      <c r="C72" s="357"/>
      <c r="D72" s="308">
        <f ca="1">IF(Trennung!S18&gt;=0,Trennung!S18,"")</f>
        <v>0</v>
      </c>
      <c r="E72" s="266" t="str">
        <f ca="1">IF(Trennung!S18&lt;0,Trennung!S18-2*Trennung!S18,"")</f>
        <v/>
      </c>
      <c r="F72" s="308">
        <f ca="1">IF(Trennung!X18&gt;=0,Trennung!X18,"")</f>
        <v>0</v>
      </c>
      <c r="G72" s="266" t="str">
        <f ca="1">IF(Trennung!X18&lt;0,Trennung!X18-2*Trennung!X18,"")</f>
        <v/>
      </c>
    </row>
    <row r="73" spans="1:7">
      <c r="A73" s="360" t="str">
        <f>" 4 "&amp;Trennung!Q19</f>
        <v xml:space="preserve"> 4  </v>
      </c>
      <c r="B73" s="76"/>
      <c r="C73" s="357"/>
      <c r="D73" s="308">
        <f ca="1">IF(Trennung!S19&gt;=0,Trennung!S19,"")</f>
        <v>0</v>
      </c>
      <c r="E73" s="266" t="str">
        <f ca="1">IF(Trennung!S19&lt;0,Trennung!S19-2*Trennung!S19,"")</f>
        <v/>
      </c>
      <c r="F73" s="308">
        <f ca="1">IF(Trennung!X19&gt;=0,Trennung!X19,"")</f>
        <v>0</v>
      </c>
      <c r="G73" s="266" t="str">
        <f ca="1">IF(Trennung!X19&lt;0,Trennung!X19-2*Trennung!X19,"")</f>
        <v/>
      </c>
    </row>
    <row r="74" spans="1:7">
      <c r="A74" s="360" t="str">
        <f>" 5 "&amp;Trennung!Q20</f>
        <v xml:space="preserve"> 5 </v>
      </c>
      <c r="B74" s="76"/>
      <c r="C74" s="357"/>
      <c r="D74" s="308" t="str">
        <f ca="1">IF(Trennung!S20&gt;=0,Trennung!S20,"")</f>
        <v/>
      </c>
      <c r="E74" s="266" t="str">
        <f ca="1">IF(Trennung!S20&lt;0,Trennung!S20-2*Trennung!S20,"")</f>
        <v/>
      </c>
      <c r="F74" s="308" t="str">
        <f ca="1">IF(Trennung!X20&gt;=0,Trennung!X20,"")</f>
        <v/>
      </c>
      <c r="G74" s="266" t="str">
        <f ca="1">IF(Trennung!X20&lt;0,Trennung!X20-2*Trennung!X20,"")</f>
        <v/>
      </c>
    </row>
    <row r="75" spans="1:7">
      <c r="A75" s="360" t="str">
        <f>" 6 "&amp;Trennung!Q21</f>
        <v xml:space="preserve"> 6 </v>
      </c>
      <c r="B75" s="76"/>
      <c r="C75" s="357"/>
      <c r="D75" s="308" t="str">
        <f ca="1">IF(Trennung!S21&gt;=0,Trennung!S21,"")</f>
        <v/>
      </c>
      <c r="E75" s="266" t="str">
        <f ca="1">IF(Trennung!S21&lt;0,Trennung!S21-2*Trennung!S21,"")</f>
        <v/>
      </c>
      <c r="F75" s="308" t="str">
        <f ca="1">IF(Trennung!X21&gt;=0,Trennung!X21,"")</f>
        <v/>
      </c>
      <c r="G75" s="266" t="str">
        <f ca="1">IF(Trennung!X21&lt;0,Trennung!X21-2*Trennung!X21,"")</f>
        <v/>
      </c>
    </row>
    <row r="76" spans="1:7">
      <c r="A76" s="360" t="str">
        <f>" 7 "&amp;Trennung!Q22</f>
        <v xml:space="preserve"> 7 </v>
      </c>
      <c r="B76" s="76"/>
      <c r="C76" s="357"/>
      <c r="D76" s="308" t="str">
        <f ca="1">IF(Trennung!S22&gt;=0,Trennung!S22,"")</f>
        <v/>
      </c>
      <c r="E76" s="266" t="str">
        <f ca="1">IF(Trennung!S22&lt;0,Trennung!S22-2*Trennung!S22,"")</f>
        <v/>
      </c>
      <c r="F76" s="308" t="str">
        <f ca="1">IF(Trennung!X22&gt;=0,Trennung!X22,"")</f>
        <v/>
      </c>
      <c r="G76" s="266" t="str">
        <f ca="1">IF(Trennung!X22&lt;0,Trennung!X22-2*Trennung!X22,"")</f>
        <v/>
      </c>
    </row>
    <row r="77" spans="1:7">
      <c r="A77" s="360" t="str">
        <f>" 8 "&amp;Trennung!Q23</f>
        <v xml:space="preserve"> 8 </v>
      </c>
      <c r="B77" s="76"/>
      <c r="C77" s="357"/>
      <c r="D77" s="308" t="str">
        <f ca="1">IF(Trennung!S23&gt;=0,Trennung!S23,"")</f>
        <v/>
      </c>
      <c r="E77" s="266" t="str">
        <f ca="1">IF(Trennung!S23&lt;0,Trennung!S23-2*Trennung!S23,"")</f>
        <v/>
      </c>
      <c r="F77" s="308" t="str">
        <f ca="1">IF(Trennung!X23&gt;=0,Trennung!X23,"")</f>
        <v/>
      </c>
      <c r="G77" s="266" t="str">
        <f ca="1">IF(Trennung!X23&lt;0,Trennung!X23-2*Trennung!X23,"")</f>
        <v/>
      </c>
    </row>
    <row r="78" spans="1:7">
      <c r="A78" s="360" t="str">
        <f>" 9 "&amp;Trennung!Q24</f>
        <v xml:space="preserve"> 9 </v>
      </c>
      <c r="B78" s="76"/>
      <c r="C78" s="357"/>
      <c r="D78" s="308" t="str">
        <f ca="1">IF(Trennung!S24&gt;=0,Trennung!S24,"")</f>
        <v/>
      </c>
      <c r="E78" s="266" t="str">
        <f ca="1">IF(Trennung!S24&lt;0,Trennung!S24-2*Trennung!S24,"")</f>
        <v/>
      </c>
      <c r="F78" s="308" t="str">
        <f ca="1">IF(Trennung!X24&gt;=0,Trennung!X24,"")</f>
        <v/>
      </c>
      <c r="G78" s="266" t="str">
        <f ca="1">IF(Trennung!X24&lt;0,Trennung!X24-2*Trennung!X24,"")</f>
        <v/>
      </c>
    </row>
    <row r="79" spans="1:7">
      <c r="A79" s="360" t="str">
        <f>"10 "&amp;Trennung!Q25</f>
        <v xml:space="preserve">10 </v>
      </c>
      <c r="B79" s="76"/>
      <c r="C79" s="357"/>
      <c r="D79" s="308" t="str">
        <f ca="1">IF(Trennung!S25&gt;=0,Trennung!S25,"")</f>
        <v/>
      </c>
      <c r="E79" s="266" t="str">
        <f ca="1">IF(Trennung!S25&lt;0,Trennung!S25-2*Trennung!S25,"")</f>
        <v/>
      </c>
      <c r="F79" s="308" t="str">
        <f ca="1">IF(Trennung!X25&gt;=0,Trennung!X25,"")</f>
        <v/>
      </c>
      <c r="G79" s="266" t="str">
        <f ca="1">IF(Trennung!X25&lt;0,Trennung!X25-2*Trennung!X25,"")</f>
        <v/>
      </c>
    </row>
    <row r="80" spans="1:7">
      <c r="A80" s="360" t="str">
        <f>"11 "&amp;Trennung!Q26</f>
        <v xml:space="preserve">11 </v>
      </c>
      <c r="B80" s="76"/>
      <c r="C80" s="357"/>
      <c r="D80" s="308" t="str">
        <f ca="1">IF(Trennung!S26&gt;=0,Trennung!S26,"")</f>
        <v/>
      </c>
      <c r="E80" s="266" t="str">
        <f ca="1">IF(Trennung!S26&lt;0,Trennung!S26-2*Trennung!S26,"")</f>
        <v/>
      </c>
      <c r="F80" s="308" t="str">
        <f ca="1">IF(Trennung!X26&gt;=0,Trennung!X26,"")</f>
        <v/>
      </c>
      <c r="G80" s="266" t="str">
        <f ca="1">IF(Trennung!X26&lt;0,Trennung!X26-2*Trennung!X26,"")</f>
        <v/>
      </c>
    </row>
    <row r="81" spans="1:7">
      <c r="A81" s="360" t="str">
        <f>"12 "&amp;Trennung!Q27</f>
        <v xml:space="preserve">12 </v>
      </c>
      <c r="B81" s="76"/>
      <c r="C81" s="357"/>
      <c r="D81" s="308" t="str">
        <f ca="1">IF(Trennung!S27&gt;=0,Trennung!S27,"")</f>
        <v/>
      </c>
      <c r="E81" s="266" t="str">
        <f ca="1">IF(Trennung!S27&lt;0,Trennung!S27-2*Trennung!S27,"")</f>
        <v/>
      </c>
      <c r="F81" s="308" t="str">
        <f ca="1">IF(Trennung!X27&gt;=0,Trennung!X27,"")</f>
        <v/>
      </c>
      <c r="G81" s="266" t="str">
        <f ca="1">IF(Trennung!X27&lt;0,Trennung!X27-2*Trennung!X27,"")</f>
        <v/>
      </c>
    </row>
    <row r="82" spans="1:7">
      <c r="A82" s="360" t="str">
        <f>"13 "&amp;Trennung!Q28</f>
        <v xml:space="preserve">13 </v>
      </c>
      <c r="B82" s="76"/>
      <c r="C82" s="357"/>
      <c r="D82" s="308" t="str">
        <f ca="1">IF(Trennung!S28&gt;=0,Trennung!S28,"")</f>
        <v/>
      </c>
      <c r="E82" s="266" t="str">
        <f ca="1">IF(Trennung!S28&lt;0,Trennung!S28-2*Trennung!S28,"")</f>
        <v/>
      </c>
      <c r="F82" s="308" t="str">
        <f ca="1">IF(Trennung!X28&gt;=0,Trennung!X28,"")</f>
        <v/>
      </c>
      <c r="G82" s="266" t="str">
        <f ca="1">IF(Trennung!X28&lt;0,Trennung!X28-2*Trennung!X28,"")</f>
        <v/>
      </c>
    </row>
    <row r="83" spans="1:7">
      <c r="A83" s="360" t="str">
        <f>"14 "&amp;Trennung!Q29</f>
        <v xml:space="preserve">14 </v>
      </c>
      <c r="B83" s="76"/>
      <c r="C83" s="357"/>
      <c r="D83" s="308" t="str">
        <f ca="1">IF(Trennung!S29&gt;=0,Trennung!S29,"")</f>
        <v/>
      </c>
      <c r="E83" s="266" t="str">
        <f ca="1">IF(Trennung!S29&lt;0,Trennung!S29-2*Trennung!S29,"")</f>
        <v/>
      </c>
      <c r="F83" s="308" t="str">
        <f ca="1">IF(Trennung!X29&gt;=0,Trennung!X29,"")</f>
        <v/>
      </c>
      <c r="G83" s="266" t="str">
        <f ca="1">IF(Trennung!X29&lt;0,Trennung!X29-2*Trennung!X29,"")</f>
        <v/>
      </c>
    </row>
    <row r="84" spans="1:7">
      <c r="A84" s="360" t="str">
        <f>"15 "&amp;Trennung!Q30</f>
        <v xml:space="preserve">15 </v>
      </c>
      <c r="B84" s="76"/>
      <c r="C84" s="357"/>
      <c r="D84" s="308" t="str">
        <f ca="1">IF(Trennung!S30&gt;=0,Trennung!S30,"")</f>
        <v/>
      </c>
      <c r="E84" s="266" t="str">
        <f ca="1">IF(Trennung!S30&lt;0,Trennung!S30-2*Trennung!S30,"")</f>
        <v/>
      </c>
      <c r="F84" s="308" t="str">
        <f ca="1">IF(Trennung!X30&gt;=0,Trennung!X30,"")</f>
        <v/>
      </c>
      <c r="G84" s="266" t="str">
        <f ca="1">IF(Trennung!X30&lt;0,Trennung!X30-2*Trennung!X30,"")</f>
        <v/>
      </c>
    </row>
    <row r="85" spans="1:7">
      <c r="A85" s="360" t="str">
        <f>"16 "&amp;Trennung!Q31</f>
        <v xml:space="preserve">16 </v>
      </c>
      <c r="B85" s="76"/>
      <c r="C85" s="357"/>
      <c r="D85" s="308" t="str">
        <f ca="1">IF(Trennung!S31&gt;=0,Trennung!S31,"")</f>
        <v/>
      </c>
      <c r="E85" s="266" t="str">
        <f ca="1">IF(Trennung!S31&lt;0,Trennung!S31-2*Trennung!S31,"")</f>
        <v/>
      </c>
      <c r="F85" s="308" t="str">
        <f ca="1">IF(Trennung!X31&gt;=0,Trennung!X31,"")</f>
        <v/>
      </c>
      <c r="G85" s="266" t="str">
        <f ca="1">IF(Trennung!X31&lt;0,Trennung!X31-2*Trennung!X31,"")</f>
        <v/>
      </c>
    </row>
    <row r="86" spans="1:7">
      <c r="A86" s="360" t="str">
        <f>"17 "&amp;Trennung!Q32</f>
        <v xml:space="preserve">17 </v>
      </c>
      <c r="B86" s="76"/>
      <c r="C86" s="357"/>
      <c r="D86" s="308" t="str">
        <f ca="1">IF(Trennung!S32&gt;=0,Trennung!S32,"")</f>
        <v/>
      </c>
      <c r="E86" s="266" t="str">
        <f ca="1">IF(Trennung!S32&lt;0,Trennung!S32-2*Trennung!S32,"")</f>
        <v/>
      </c>
      <c r="F86" s="308" t="str">
        <f ca="1">IF(Trennung!X32&gt;=0,Trennung!X32,"")</f>
        <v/>
      </c>
      <c r="G86" s="266" t="str">
        <f ca="1">IF(Trennung!X32&lt;0,Trennung!X32-2*Trennung!X32,"")</f>
        <v/>
      </c>
    </row>
    <row r="87" spans="1:7">
      <c r="A87" s="360" t="str">
        <f>"18 "&amp;Trennung!Q33</f>
        <v xml:space="preserve">18 </v>
      </c>
      <c r="B87" s="76"/>
      <c r="C87" s="357"/>
      <c r="D87" s="308" t="str">
        <f ca="1">IF(Trennung!S33&gt;=0,Trennung!S33,"")</f>
        <v/>
      </c>
      <c r="E87" s="266" t="str">
        <f ca="1">IF(Trennung!S33&lt;0,Trennung!S33-2*Trennung!S33,"")</f>
        <v/>
      </c>
      <c r="F87" s="308" t="str">
        <f ca="1">IF(Trennung!X33&gt;=0,Trennung!X33,"")</f>
        <v/>
      </c>
      <c r="G87" s="266" t="str">
        <f ca="1">IF(Trennung!X33&lt;0,Trennung!X33-2*Trennung!X33,"")</f>
        <v/>
      </c>
    </row>
    <row r="88" spans="1:7">
      <c r="A88" s="360" t="str">
        <f>"19 "&amp;Trennung!Q34</f>
        <v xml:space="preserve">19 </v>
      </c>
      <c r="B88" s="76"/>
      <c r="C88" s="357"/>
      <c r="D88" s="308" t="str">
        <f ca="1">IF(Trennung!S34&gt;=0,Trennung!S34,"")</f>
        <v/>
      </c>
      <c r="E88" s="266" t="str">
        <f ca="1">IF(Trennung!S34&lt;0,Trennung!S34-2*Trennung!S34,"")</f>
        <v/>
      </c>
      <c r="F88" s="308" t="str">
        <f ca="1">IF(Trennung!X34&gt;=0,Trennung!X34,"")</f>
        <v/>
      </c>
      <c r="G88" s="266" t="str">
        <f ca="1">IF(Trennung!X34&lt;0,Trennung!X34-2*Trennung!X34,"")</f>
        <v/>
      </c>
    </row>
    <row r="89" spans="1:7">
      <c r="A89" s="360" t="str">
        <f>"20 "&amp;Trennung!Q35</f>
        <v xml:space="preserve">20 </v>
      </c>
      <c r="B89" s="76"/>
      <c r="C89" s="357"/>
      <c r="D89" s="308" t="str">
        <f ca="1">IF(Trennung!S35&gt;=0,Trennung!S35,"")</f>
        <v/>
      </c>
      <c r="E89" s="266" t="str">
        <f ca="1">IF(Trennung!S35&lt;0,Trennung!S35-2*Trennung!S35,"")</f>
        <v/>
      </c>
      <c r="F89" s="308" t="str">
        <f ca="1">IF(Trennung!X35&gt;=0,Trennung!X35,"")</f>
        <v/>
      </c>
      <c r="G89" s="266" t="str">
        <f ca="1">IF(Trennung!X35&lt;0,Trennung!X35-2*Trennung!X35,"")</f>
        <v/>
      </c>
    </row>
    <row r="90" spans="1:7">
      <c r="A90" s="360" t="str">
        <f>"21 "&amp;Trennung!Q36</f>
        <v xml:space="preserve">21 </v>
      </c>
      <c r="B90" s="76"/>
      <c r="C90" s="357"/>
      <c r="D90" s="308" t="str">
        <f ca="1">IF(Trennung!S36&gt;=0,Trennung!S36,"")</f>
        <v/>
      </c>
      <c r="E90" s="266" t="str">
        <f ca="1">IF(Trennung!S36&lt;0,Trennung!S36-2*Trennung!S36,"")</f>
        <v/>
      </c>
      <c r="F90" s="308" t="str">
        <f ca="1">IF(Trennung!X36&gt;=0,Trennung!X36,"")</f>
        <v/>
      </c>
      <c r="G90" s="266" t="str">
        <f ca="1">IF(Trennung!X36&lt;0,Trennung!X36-2*Trennung!X36,"")</f>
        <v/>
      </c>
    </row>
    <row r="91" spans="1:7">
      <c r="A91" s="360" t="str">
        <f>"22 "&amp;Trennung!Q37</f>
        <v xml:space="preserve">22 </v>
      </c>
      <c r="B91" s="76"/>
      <c r="C91" s="357"/>
      <c r="D91" s="308" t="str">
        <f ca="1">IF(Trennung!S37&gt;=0,Trennung!S37,"")</f>
        <v/>
      </c>
      <c r="E91" s="266" t="str">
        <f ca="1">IF(Trennung!S37&lt;0,Trennung!S37-2*Trennung!S37,"")</f>
        <v/>
      </c>
      <c r="F91" s="308" t="str">
        <f ca="1">IF(Trennung!X37&gt;=0,Trennung!X37,"")</f>
        <v/>
      </c>
      <c r="G91" s="266" t="str">
        <f ca="1">IF(Trennung!X37&lt;0,Trennung!X37-2*Trennung!X37,"")</f>
        <v/>
      </c>
    </row>
    <row r="92" spans="1:7">
      <c r="A92" s="360" t="str">
        <f>"23 "&amp;Trennung!Q38</f>
        <v xml:space="preserve">23 </v>
      </c>
      <c r="B92" s="76"/>
      <c r="C92" s="357"/>
      <c r="D92" s="308" t="str">
        <f ca="1">IF(Trennung!S38&gt;=0,Trennung!S38,"")</f>
        <v/>
      </c>
      <c r="E92" s="266" t="str">
        <f ca="1">IF(Trennung!S38&lt;0,Trennung!S38-2*Trennung!S38,"")</f>
        <v/>
      </c>
      <c r="F92" s="308" t="str">
        <f ca="1">IF(Trennung!X38&gt;=0,Trennung!X38,"")</f>
        <v/>
      </c>
      <c r="G92" s="266" t="str">
        <f ca="1">IF(Trennung!X38&lt;0,Trennung!X38-2*Trennung!X38,"")</f>
        <v/>
      </c>
    </row>
    <row r="93" spans="1:7">
      <c r="A93" s="360" t="str">
        <f>"24 "&amp;Trennung!Q39</f>
        <v xml:space="preserve">24 </v>
      </c>
      <c r="B93" s="76"/>
      <c r="C93" s="357"/>
      <c r="D93" s="308" t="str">
        <f ca="1">IF(Trennung!S39&gt;=0,Trennung!S39,"")</f>
        <v/>
      </c>
      <c r="E93" s="266" t="str">
        <f ca="1">IF(Trennung!S39&lt;0,Trennung!S39-2*Trennung!S39,"")</f>
        <v/>
      </c>
      <c r="F93" s="308" t="str">
        <f ca="1">IF(Trennung!X39&gt;=0,Trennung!X39,"")</f>
        <v/>
      </c>
      <c r="G93" s="266" t="str">
        <f ca="1">IF(Trennung!X39&lt;0,Trennung!X39-2*Trennung!X39,"")</f>
        <v/>
      </c>
    </row>
    <row r="94" spans="1:7">
      <c r="A94" s="360" t="str">
        <f>"25 "&amp;Trennung!Q40</f>
        <v xml:space="preserve">25 </v>
      </c>
      <c r="B94" s="76"/>
      <c r="C94" s="357"/>
      <c r="D94" s="308" t="str">
        <f ca="1">IF(Trennung!S40&gt;=0,Trennung!S40,"")</f>
        <v/>
      </c>
      <c r="E94" s="266" t="str">
        <f ca="1">IF(Trennung!S40&lt;0,Trennung!S40-2*Trennung!S40,"")</f>
        <v/>
      </c>
      <c r="F94" s="308" t="str">
        <f ca="1">IF(Trennung!X40&gt;=0,Trennung!X40,"")</f>
        <v/>
      </c>
      <c r="G94" s="266" t="str">
        <f ca="1">IF(Trennung!X40&lt;0,Trennung!X40-2*Trennung!X40,"")</f>
        <v/>
      </c>
    </row>
    <row r="95" spans="1:7">
      <c r="A95" s="360" t="str">
        <f>"26 "&amp;Trennung!Q41</f>
        <v xml:space="preserve">26 </v>
      </c>
      <c r="B95" s="76"/>
      <c r="C95" s="357"/>
      <c r="D95" s="308" t="str">
        <f ca="1">IF(Trennung!S41&gt;=0,Trennung!S41,"")</f>
        <v/>
      </c>
      <c r="E95" s="266" t="str">
        <f ca="1">IF(Trennung!S41&lt;0,Trennung!S41-2*Trennung!S41,"")</f>
        <v/>
      </c>
      <c r="F95" s="308" t="str">
        <f ca="1">IF(Trennung!X41&gt;=0,Trennung!X41,"")</f>
        <v/>
      </c>
      <c r="G95" s="266" t="str">
        <f ca="1">IF(Trennung!X41&lt;0,Trennung!X41-2*Trennung!X41,"")</f>
        <v/>
      </c>
    </row>
    <row r="96" spans="1:7">
      <c r="A96" s="360" t="str">
        <f>"27 "&amp;Trennung!Q42</f>
        <v xml:space="preserve">27 </v>
      </c>
      <c r="B96" s="76"/>
      <c r="C96" s="357"/>
      <c r="D96" s="308" t="str">
        <f ca="1">IF(Trennung!S42&gt;=0,Trennung!S42,"")</f>
        <v/>
      </c>
      <c r="E96" s="266" t="str">
        <f ca="1">IF(Trennung!S42&lt;0,Trennung!S42-2*Trennung!S42,"")</f>
        <v/>
      </c>
      <c r="F96" s="308" t="str">
        <f ca="1">IF(Trennung!X42&gt;=0,Trennung!X42,"")</f>
        <v/>
      </c>
      <c r="G96" s="266" t="str">
        <f ca="1">IF(Trennung!X42&lt;0,Trennung!X42-2*Trennung!X42,"")</f>
        <v/>
      </c>
    </row>
    <row r="97" spans="1:7">
      <c r="A97" s="360" t="str">
        <f>"28 "&amp;Trennung!Q43</f>
        <v xml:space="preserve">28 </v>
      </c>
      <c r="B97" s="76"/>
      <c r="C97" s="357"/>
      <c r="D97" s="308" t="str">
        <f ca="1">IF(Trennung!S43&gt;=0,Trennung!S43,"")</f>
        <v/>
      </c>
      <c r="E97" s="266" t="str">
        <f ca="1">IF(Trennung!S43&lt;0,Trennung!S43-2*Trennung!S43,"")</f>
        <v/>
      </c>
      <c r="F97" s="308" t="str">
        <f ca="1">IF(Trennung!X43&gt;=0,Trennung!X43,"")</f>
        <v/>
      </c>
      <c r="G97" s="266" t="str">
        <f ca="1">IF(Trennung!X43&lt;0,Trennung!X43-2*Trennung!X43,"")</f>
        <v/>
      </c>
    </row>
    <row r="98" spans="1:7">
      <c r="A98" s="360" t="str">
        <f>"29 "&amp;Trennung!Q44</f>
        <v xml:space="preserve">29 </v>
      </c>
      <c r="B98" s="76"/>
      <c r="C98" s="357"/>
      <c r="D98" s="308" t="str">
        <f ca="1">IF(Trennung!S44&gt;=0,Trennung!S44,"")</f>
        <v/>
      </c>
      <c r="E98" s="266" t="str">
        <f ca="1">IF(Trennung!S44&lt;0,Trennung!S44-2*Trennung!S44,"")</f>
        <v/>
      </c>
      <c r="F98" s="308" t="str">
        <f ca="1">IF(Trennung!X44&gt;=0,Trennung!X44,"")</f>
        <v/>
      </c>
      <c r="G98" s="266" t="str">
        <f ca="1">IF(Trennung!X44&lt;0,Trennung!X44-2*Trennung!X44,"")</f>
        <v/>
      </c>
    </row>
    <row r="99" spans="1:7" ht="13.5" thickBot="1">
      <c r="A99" s="361" t="str">
        <f>"30 "&amp;Trennung!Q45</f>
        <v xml:space="preserve">30 </v>
      </c>
      <c r="B99" s="358"/>
      <c r="C99" s="359"/>
      <c r="D99" s="309" t="str">
        <f ca="1">IF(Trennung!S45&gt;=0,Trennung!S45,"")</f>
        <v/>
      </c>
      <c r="E99" s="266" t="str">
        <f ca="1">IF(Trennung!S45&lt;0,Trennung!S45-2*Trennung!S45,"")</f>
        <v/>
      </c>
      <c r="F99" s="309" t="str">
        <f ca="1">IF(Trennung!X45&gt;=0,Trennung!X45,"")</f>
        <v/>
      </c>
      <c r="G99" s="266" t="str">
        <f ca="1">IF(Trennung!X45&lt;0,Trennung!X45-2*Trennung!X45,"")</f>
        <v/>
      </c>
    </row>
    <row r="100" spans="1:7" ht="13.5" thickBot="1">
      <c r="A100" s="352" t="s">
        <v>14</v>
      </c>
      <c r="B100" s="353"/>
      <c r="C100" s="354"/>
      <c r="D100" s="262">
        <f ca="1">SUM(D70:D99)</f>
        <v>2000</v>
      </c>
      <c r="E100" s="263">
        <f ca="1">SUM(E70:E99)</f>
        <v>0</v>
      </c>
      <c r="F100" s="262">
        <f ca="1">SUM(F70:F99)</f>
        <v>1560.75</v>
      </c>
      <c r="G100" s="263">
        <f ca="1">SUM(G70:G99)</f>
        <v>70</v>
      </c>
    </row>
    <row r="101" spans="1:7">
      <c r="A101" s="374"/>
      <c r="B101" s="368"/>
      <c r="C101" s="369"/>
      <c r="D101" s="264"/>
      <c r="E101" s="265"/>
      <c r="F101" s="264"/>
      <c r="G101" s="265"/>
    </row>
    <row r="102" spans="1:7">
      <c r="A102" s="375"/>
      <c r="B102" s="370"/>
      <c r="C102" s="371"/>
      <c r="D102" s="241"/>
      <c r="E102" s="242"/>
      <c r="F102" s="241"/>
      <c r="G102" s="242"/>
    </row>
    <row r="103" spans="1:7">
      <c r="A103" s="375" t="s">
        <v>203</v>
      </c>
      <c r="B103" s="370"/>
      <c r="C103" s="371"/>
      <c r="D103" s="241"/>
      <c r="E103" s="242"/>
      <c r="F103" s="241"/>
      <c r="G103" s="242"/>
    </row>
    <row r="104" spans="1:7">
      <c r="A104" s="375"/>
      <c r="B104" s="370"/>
      <c r="C104" s="371"/>
      <c r="D104" s="241"/>
      <c r="E104" s="242"/>
      <c r="F104" s="241"/>
      <c r="G104" s="242"/>
    </row>
    <row r="105" spans="1:7">
      <c r="A105" s="375"/>
      <c r="B105" s="370"/>
      <c r="C105" s="371"/>
      <c r="D105" s="243"/>
      <c r="E105" s="244"/>
      <c r="F105" s="243"/>
      <c r="G105" s="244"/>
    </row>
    <row r="106" spans="1:7">
      <c r="A106" s="375"/>
      <c r="B106" s="370"/>
      <c r="C106" s="371"/>
      <c r="D106" s="243"/>
      <c r="E106" s="244"/>
      <c r="F106" s="243"/>
      <c r="G106" s="244"/>
    </row>
    <row r="107" spans="1:7">
      <c r="A107" s="375"/>
      <c r="B107" s="370"/>
      <c r="C107" s="371"/>
      <c r="D107" s="243"/>
      <c r="E107" s="244"/>
      <c r="F107" s="243"/>
      <c r="G107" s="244"/>
    </row>
    <row r="108" spans="1:7">
      <c r="A108" s="375"/>
      <c r="B108" s="370"/>
      <c r="C108" s="371"/>
      <c r="D108" s="243"/>
      <c r="E108" s="244"/>
      <c r="F108" s="243"/>
      <c r="G108" s="244"/>
    </row>
    <row r="109" spans="1:7">
      <c r="A109" s="375"/>
      <c r="B109" s="370"/>
      <c r="C109" s="371"/>
      <c r="D109" s="243"/>
      <c r="E109" s="244"/>
      <c r="F109" s="243"/>
      <c r="G109" s="244"/>
    </row>
    <row r="110" spans="1:7">
      <c r="A110" s="375"/>
      <c r="B110" s="370"/>
      <c r="C110" s="371"/>
      <c r="D110" s="243"/>
      <c r="E110" s="244"/>
      <c r="F110" s="243"/>
      <c r="G110" s="244"/>
    </row>
    <row r="111" spans="1:7">
      <c r="A111" s="375"/>
      <c r="B111" s="370"/>
      <c r="C111" s="371"/>
      <c r="D111" s="243"/>
      <c r="E111" s="244"/>
      <c r="F111" s="243"/>
      <c r="G111" s="244"/>
    </row>
    <row r="112" spans="1:7">
      <c r="A112" s="375"/>
      <c r="B112" s="370"/>
      <c r="C112" s="371"/>
      <c r="D112" s="243"/>
      <c r="E112" s="244"/>
      <c r="F112" s="243"/>
      <c r="G112" s="244"/>
    </row>
    <row r="113" spans="1:7" ht="13.5" thickBot="1">
      <c r="A113" s="376"/>
      <c r="B113" s="372"/>
      <c r="C113" s="373"/>
      <c r="D113" s="243"/>
      <c r="E113" s="244"/>
      <c r="F113" s="243"/>
      <c r="G113" s="244"/>
    </row>
    <row r="114" spans="1:7" ht="13.5" thickBot="1">
      <c r="A114" s="352" t="s">
        <v>13</v>
      </c>
      <c r="B114" s="353"/>
      <c r="C114" s="354"/>
      <c r="D114" s="262">
        <f>SUM(D101:D113)</f>
        <v>0</v>
      </c>
      <c r="E114" s="263">
        <f>SUM(E101:E113)</f>
        <v>0</v>
      </c>
      <c r="F114" s="262">
        <f>SUM(F101:F113)</f>
        <v>0</v>
      </c>
      <c r="G114" s="263">
        <f>SUM(G101:G113)</f>
        <v>0</v>
      </c>
    </row>
    <row r="115" spans="1:7" ht="13.5" thickBot="1">
      <c r="B115" s="211"/>
      <c r="C115" s="211"/>
      <c r="D115" s="211"/>
      <c r="E115" s="211"/>
    </row>
    <row r="116" spans="1:7" ht="13.5" thickBot="1">
      <c r="A116" s="352" t="s">
        <v>244</v>
      </c>
      <c r="B116" s="353"/>
      <c r="C116" s="354"/>
      <c r="D116" s="362"/>
      <c r="E116" s="363"/>
      <c r="F116" s="362"/>
      <c r="G116" s="363"/>
    </row>
    <row r="117" spans="1:7" ht="13.5" thickBot="1">
      <c r="A117" s="294"/>
    </row>
    <row r="118" spans="1:7" ht="13.5" thickBot="1">
      <c r="A118" s="247" t="s">
        <v>110</v>
      </c>
      <c r="B118" s="353"/>
      <c r="C118" s="354"/>
      <c r="D118" s="262">
        <f ca="1">D100+D114+D116</f>
        <v>2000</v>
      </c>
      <c r="E118" s="263">
        <f ca="1">E100+E114+E116</f>
        <v>0</v>
      </c>
      <c r="F118" s="262">
        <f ca="1">F100+F114+F116</f>
        <v>1560.75</v>
      </c>
      <c r="G118" s="263">
        <f ca="1">G100+G114+G116</f>
        <v>70</v>
      </c>
    </row>
    <row r="120" spans="1:7" ht="13.5" thickBot="1">
      <c r="A120" s="2" t="s">
        <v>218</v>
      </c>
      <c r="E120" s="306">
        <f ca="1">D118-E118</f>
        <v>2000</v>
      </c>
      <c r="G120" s="364">
        <f ca="1">F118-G118</f>
        <v>1490.75</v>
      </c>
    </row>
    <row r="121" spans="1:7" ht="13.5" thickBot="1">
      <c r="A121" s="2" t="s">
        <v>220</v>
      </c>
      <c r="G121" s="365">
        <f ca="1">G120-E120</f>
        <v>-509.25</v>
      </c>
    </row>
    <row r="122" spans="1:7">
      <c r="A122" s="261" t="s">
        <v>16</v>
      </c>
      <c r="G122" s="260">
        <f>G46</f>
        <v>-509.25</v>
      </c>
    </row>
  </sheetData>
  <sheetProtection sheet="1" objects="1" scenarios="1"/>
  <mergeCells count="4">
    <mergeCell ref="B5:D5"/>
    <mergeCell ref="E5:G5"/>
    <mergeCell ref="D68:E68"/>
    <mergeCell ref="F68:G68"/>
  </mergeCells>
  <phoneticPr fontId="0" type="noConversion"/>
  <pageMargins left="0.59055118110236227" right="0" top="0.39370078740157483" bottom="0" header="0.51181102362204722" footer="0.51181102362204722"/>
  <pageSetup paperSize="9" orientation="portrait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N39"/>
  <sheetViews>
    <sheetView showGridLines="0" zoomScale="83" workbookViewId="0">
      <pane ySplit="14" topLeftCell="A15" activePane="bottomLeft" state="frozen"/>
      <selection activeCell="Q4" sqref="Q4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Januar ",'Kat. I'!$A$2)</f>
        <v xml:space="preserve">Finanzübersicht (Erfolgsrechnung) Monat Januar </v>
      </c>
      <c r="B1" s="1"/>
      <c r="K1" s="1" t="str">
        <f>CONCATENATE(Jan.!$K$2," Januar ",'Kat. I'!$A$2)</f>
        <v xml:space="preserve"> Januar </v>
      </c>
    </row>
    <row r="2" spans="1:14">
      <c r="A2" s="19" t="s">
        <v>185</v>
      </c>
      <c r="B2" s="19"/>
      <c r="C2" s="83" t="s">
        <v>17</v>
      </c>
      <c r="K2" s="19"/>
      <c r="M2" s="19"/>
      <c r="N2" s="19"/>
    </row>
    <row r="3" spans="1:14">
      <c r="A3" s="19" t="s">
        <v>113</v>
      </c>
      <c r="B3" s="21"/>
      <c r="C3" s="84"/>
      <c r="D3" s="21"/>
      <c r="E3" s="21"/>
      <c r="F3" s="21"/>
      <c r="G3" s="21"/>
      <c r="H3" s="21"/>
      <c r="I3" s="21"/>
      <c r="J3" s="21"/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213">
        <v>1000</v>
      </c>
      <c r="L5" s="213">
        <v>1000</v>
      </c>
      <c r="M5" s="213"/>
      <c r="N5" s="213"/>
    </row>
    <row r="6" spans="1:14" ht="13.5" thickTop="1">
      <c r="A6" s="16">
        <f>SUM($K$5:$IV$5)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1900.75</v>
      </c>
      <c r="G7" s="7">
        <f ca="1">SUM(INDIRECT("G15:G16000"))</f>
        <v>-2410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$A$7-$A$6</f>
        <v>-509.25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/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214" t="s">
        <v>60</v>
      </c>
      <c r="L12" s="214" t="s">
        <v>61</v>
      </c>
      <c r="M12" s="214"/>
      <c r="N12" s="214"/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15"/>
      <c r="L14" s="215"/>
      <c r="M14" s="215"/>
      <c r="N14" s="215"/>
    </row>
    <row r="15" spans="1:14" ht="13.5" thickTop="1">
      <c r="A15" s="390"/>
      <c r="B15" s="391"/>
      <c r="C15" s="392" t="s">
        <v>271</v>
      </c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217" t="str">
        <f>IF(OR(E15&lt;0,G15&gt;0),"!","")</f>
        <v/>
      </c>
      <c r="K15" s="404">
        <f t="shared" ref="K15:N24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217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 t="s">
        <v>249</v>
      </c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217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217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 t="s">
        <v>250</v>
      </c>
      <c r="D19" s="399"/>
      <c r="E19" s="400"/>
      <c r="F19" s="401"/>
      <c r="G19" s="402"/>
      <c r="H19" s="403"/>
      <c r="I19" s="216" t="str">
        <f t="shared" si="1"/>
        <v/>
      </c>
      <c r="J19" s="217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 t="s">
        <v>251</v>
      </c>
      <c r="D20" s="399"/>
      <c r="E20" s="400"/>
      <c r="F20" s="401"/>
      <c r="G20" s="402"/>
      <c r="H20" s="403"/>
      <c r="I20" s="216" t="str">
        <f t="shared" si="1"/>
        <v/>
      </c>
      <c r="J20" s="217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 t="s">
        <v>252</v>
      </c>
      <c r="D21" s="399"/>
      <c r="E21" s="400"/>
      <c r="F21" s="401"/>
      <c r="G21" s="402"/>
      <c r="H21" s="403"/>
      <c r="I21" s="216" t="str">
        <f t="shared" si="1"/>
        <v/>
      </c>
      <c r="J21" s="217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ref="M21:N39" si="3">IF($H21=M$3,$E21+$G21,0)</f>
        <v>0</v>
      </c>
      <c r="N21" s="405">
        <f t="shared" si="3"/>
        <v>0</v>
      </c>
    </row>
    <row r="22" spans="1:14">
      <c r="A22" s="396"/>
      <c r="B22" s="397"/>
      <c r="C22" s="398" t="s">
        <v>253</v>
      </c>
      <c r="D22" s="399"/>
      <c r="E22" s="400"/>
      <c r="F22" s="401"/>
      <c r="G22" s="402"/>
      <c r="H22" s="403"/>
      <c r="I22" s="216" t="str">
        <f t="shared" si="1"/>
        <v/>
      </c>
      <c r="J22" s="217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3"/>
        <v>0</v>
      </c>
      <c r="N22" s="405">
        <f t="shared" si="3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217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3"/>
        <v>0</v>
      </c>
      <c r="N23" s="405">
        <f t="shared" si="3"/>
        <v>0</v>
      </c>
    </row>
    <row r="24" spans="1:14">
      <c r="A24" s="396"/>
      <c r="B24" s="397"/>
      <c r="C24" s="398" t="s">
        <v>254</v>
      </c>
      <c r="D24" s="399"/>
      <c r="E24" s="400"/>
      <c r="F24" s="401"/>
      <c r="G24" s="402"/>
      <c r="H24" s="403"/>
      <c r="I24" s="216" t="str">
        <f t="shared" si="1"/>
        <v/>
      </c>
      <c r="J24" s="217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3"/>
        <v>0</v>
      </c>
      <c r="N24" s="405">
        <f t="shared" si="3"/>
        <v>0</v>
      </c>
    </row>
    <row r="25" spans="1:14">
      <c r="A25" s="396"/>
      <c r="B25" s="397"/>
      <c r="C25" s="398" t="s">
        <v>255</v>
      </c>
      <c r="D25" s="399"/>
      <c r="E25" s="400"/>
      <c r="F25" s="401"/>
      <c r="G25" s="402"/>
      <c r="H25" s="403"/>
      <c r="I25" s="216" t="str">
        <f t="shared" si="1"/>
        <v/>
      </c>
      <c r="J25" s="217" t="str">
        <f t="shared" si="2"/>
        <v/>
      </c>
      <c r="K25" s="405">
        <f t="shared" ref="K25:K39" si="4">IF($H25=K$3,$E25+$G25,0)</f>
        <v>0</v>
      </c>
      <c r="L25" s="405">
        <f t="shared" ref="L25:L39" si="5">IF($H25=L$3,$E25+$G25,0)</f>
        <v>0</v>
      </c>
      <c r="M25" s="405">
        <f t="shared" si="3"/>
        <v>0</v>
      </c>
      <c r="N25" s="405">
        <f t="shared" si="3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217" t="str">
        <f t="shared" si="2"/>
        <v/>
      </c>
      <c r="K26" s="405">
        <f t="shared" si="4"/>
        <v>0</v>
      </c>
      <c r="L26" s="405">
        <f t="shared" si="5"/>
        <v>0</v>
      </c>
      <c r="M26" s="405">
        <f t="shared" si="3"/>
        <v>0</v>
      </c>
      <c r="N26" s="405">
        <f t="shared" si="3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217" t="str">
        <f t="shared" si="2"/>
        <v/>
      </c>
      <c r="K27" s="405">
        <f t="shared" si="4"/>
        <v>0</v>
      </c>
      <c r="L27" s="405">
        <f t="shared" si="5"/>
        <v>0</v>
      </c>
      <c r="M27" s="405">
        <f t="shared" si="3"/>
        <v>0</v>
      </c>
      <c r="N27" s="405">
        <f t="shared" si="3"/>
        <v>0</v>
      </c>
    </row>
    <row r="28" spans="1:14">
      <c r="A28" s="396"/>
      <c r="B28" s="397"/>
      <c r="C28" s="398" t="s">
        <v>256</v>
      </c>
      <c r="D28" s="399"/>
      <c r="E28" s="400"/>
      <c r="F28" s="401"/>
      <c r="G28" s="402"/>
      <c r="H28" s="403"/>
      <c r="I28" s="216" t="str">
        <f t="shared" si="1"/>
        <v/>
      </c>
      <c r="J28" s="217" t="str">
        <f t="shared" si="2"/>
        <v/>
      </c>
      <c r="K28" s="405">
        <f t="shared" si="4"/>
        <v>0</v>
      </c>
      <c r="L28" s="405">
        <f t="shared" si="5"/>
        <v>0</v>
      </c>
      <c r="M28" s="405">
        <f t="shared" si="3"/>
        <v>0</v>
      </c>
      <c r="N28" s="405">
        <f t="shared" si="3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217" t="str">
        <f t="shared" si="2"/>
        <v/>
      </c>
      <c r="K29" s="405">
        <f t="shared" si="4"/>
        <v>0</v>
      </c>
      <c r="L29" s="405">
        <f t="shared" si="5"/>
        <v>0</v>
      </c>
      <c r="M29" s="405">
        <f t="shared" si="3"/>
        <v>0</v>
      </c>
      <c r="N29" s="405">
        <f t="shared" si="3"/>
        <v>0</v>
      </c>
    </row>
    <row r="30" spans="1:14">
      <c r="A30" s="396">
        <v>39083</v>
      </c>
      <c r="B30" s="397"/>
      <c r="C30" s="398" t="s">
        <v>257</v>
      </c>
      <c r="D30" s="399">
        <v>147</v>
      </c>
      <c r="E30" s="400">
        <v>120.75</v>
      </c>
      <c r="F30" s="401"/>
      <c r="G30" s="402"/>
      <c r="H30" s="403">
        <v>1</v>
      </c>
      <c r="I30" s="216" t="str">
        <f t="shared" si="1"/>
        <v/>
      </c>
      <c r="J30" s="217" t="str">
        <f t="shared" si="2"/>
        <v/>
      </c>
      <c r="K30" s="405">
        <f t="shared" si="4"/>
        <v>120.75</v>
      </c>
      <c r="L30" s="405">
        <f t="shared" si="5"/>
        <v>0</v>
      </c>
      <c r="M30" s="405">
        <f t="shared" si="3"/>
        <v>0</v>
      </c>
      <c r="N30" s="405">
        <f t="shared" si="3"/>
        <v>0</v>
      </c>
    </row>
    <row r="31" spans="1:14">
      <c r="A31" s="396">
        <v>39087</v>
      </c>
      <c r="B31" s="397"/>
      <c r="C31" s="398" t="s">
        <v>273</v>
      </c>
      <c r="D31" s="399">
        <v>125</v>
      </c>
      <c r="E31" s="400">
        <v>2000</v>
      </c>
      <c r="F31" s="401"/>
      <c r="G31" s="402"/>
      <c r="H31" s="403">
        <v>2</v>
      </c>
      <c r="I31" s="216" t="str">
        <f t="shared" ref="I31:I39" si="6">IF(AND(H31="",OR(E31&lt;&gt;"",G31&lt;&gt;"")),"?","")</f>
        <v/>
      </c>
      <c r="J31" s="217" t="str">
        <f t="shared" ref="J31:J39" si="7">IF(OR(E31&lt;0,G31&gt;0),"!","")</f>
        <v/>
      </c>
      <c r="K31" s="405">
        <f t="shared" si="4"/>
        <v>0</v>
      </c>
      <c r="L31" s="405">
        <f t="shared" si="5"/>
        <v>2000</v>
      </c>
      <c r="M31" s="405">
        <f t="shared" si="3"/>
        <v>0</v>
      </c>
      <c r="N31" s="405">
        <f t="shared" si="3"/>
        <v>0</v>
      </c>
    </row>
    <row r="32" spans="1:14">
      <c r="A32" s="396">
        <v>39092</v>
      </c>
      <c r="B32" s="397"/>
      <c r="C32" s="398" t="s">
        <v>258</v>
      </c>
      <c r="D32" s="399"/>
      <c r="E32" s="400"/>
      <c r="F32" s="401">
        <v>230</v>
      </c>
      <c r="G32" s="402">
        <v>-850</v>
      </c>
      <c r="H32" s="403">
        <v>2</v>
      </c>
      <c r="I32" s="216" t="str">
        <f t="shared" si="6"/>
        <v/>
      </c>
      <c r="J32" s="217" t="str">
        <f t="shared" si="7"/>
        <v/>
      </c>
      <c r="K32" s="405">
        <f t="shared" si="4"/>
        <v>0</v>
      </c>
      <c r="L32" s="405">
        <f t="shared" si="5"/>
        <v>-850</v>
      </c>
      <c r="M32" s="405">
        <f t="shared" si="3"/>
        <v>0</v>
      </c>
      <c r="N32" s="405">
        <f t="shared" si="3"/>
        <v>0</v>
      </c>
    </row>
    <row r="33" spans="1:14">
      <c r="A33" s="396">
        <v>39092</v>
      </c>
      <c r="B33" s="397"/>
      <c r="C33" s="398" t="s">
        <v>259</v>
      </c>
      <c r="D33" s="399"/>
      <c r="E33" s="400"/>
      <c r="F33" s="401">
        <v>230</v>
      </c>
      <c r="G33" s="402">
        <v>-60</v>
      </c>
      <c r="H33" s="403">
        <v>1</v>
      </c>
      <c r="I33" s="216" t="str">
        <f t="shared" si="6"/>
        <v/>
      </c>
      <c r="J33" s="217" t="str">
        <f t="shared" si="7"/>
        <v/>
      </c>
      <c r="K33" s="405">
        <f t="shared" si="4"/>
        <v>-60</v>
      </c>
      <c r="L33" s="405">
        <f t="shared" si="5"/>
        <v>0</v>
      </c>
      <c r="M33" s="405">
        <f t="shared" si="3"/>
        <v>0</v>
      </c>
      <c r="N33" s="405">
        <f t="shared" si="3"/>
        <v>0</v>
      </c>
    </row>
    <row r="34" spans="1:14">
      <c r="A34" s="396">
        <v>39104</v>
      </c>
      <c r="B34" s="397"/>
      <c r="C34" s="398" t="s">
        <v>260</v>
      </c>
      <c r="D34" s="399"/>
      <c r="E34" s="400"/>
      <c r="F34" s="401">
        <v>250</v>
      </c>
      <c r="G34" s="402">
        <v>-2000</v>
      </c>
      <c r="H34" s="403">
        <v>2</v>
      </c>
      <c r="I34" s="216" t="str">
        <f t="shared" si="6"/>
        <v/>
      </c>
      <c r="J34" s="217" t="str">
        <f t="shared" si="7"/>
        <v/>
      </c>
      <c r="K34" s="405">
        <f t="shared" si="4"/>
        <v>0</v>
      </c>
      <c r="L34" s="405">
        <f t="shared" si="5"/>
        <v>-2000</v>
      </c>
      <c r="M34" s="405">
        <f t="shared" si="3"/>
        <v>0</v>
      </c>
      <c r="N34" s="405">
        <f t="shared" si="3"/>
        <v>0</v>
      </c>
    </row>
    <row r="35" spans="1:14">
      <c r="A35" s="396">
        <v>39111</v>
      </c>
      <c r="B35" s="397"/>
      <c r="C35" s="398" t="s">
        <v>261</v>
      </c>
      <c r="D35" s="399"/>
      <c r="E35" s="400"/>
      <c r="F35" s="401">
        <v>250</v>
      </c>
      <c r="G35" s="402">
        <v>500</v>
      </c>
      <c r="H35" s="403">
        <v>2</v>
      </c>
      <c r="I35" s="216" t="str">
        <f t="shared" si="6"/>
        <v/>
      </c>
      <c r="J35" s="217" t="str">
        <f t="shared" si="7"/>
        <v>!</v>
      </c>
      <c r="K35" s="405">
        <f t="shared" si="4"/>
        <v>0</v>
      </c>
      <c r="L35" s="405">
        <f t="shared" si="5"/>
        <v>500</v>
      </c>
      <c r="M35" s="405">
        <f t="shared" si="3"/>
        <v>0</v>
      </c>
      <c r="N35" s="405">
        <f t="shared" si="3"/>
        <v>0</v>
      </c>
    </row>
    <row r="36" spans="1:14">
      <c r="A36" s="396">
        <v>39112</v>
      </c>
      <c r="B36" s="397"/>
      <c r="C36" s="398" t="s">
        <v>262</v>
      </c>
      <c r="D36" s="399">
        <v>125</v>
      </c>
      <c r="E36" s="400">
        <v>-220</v>
      </c>
      <c r="F36" s="401"/>
      <c r="G36" s="402"/>
      <c r="H36" s="403">
        <v>2</v>
      </c>
      <c r="I36" s="216" t="str">
        <f t="shared" si="6"/>
        <v/>
      </c>
      <c r="J36" s="217" t="str">
        <f t="shared" si="7"/>
        <v>!</v>
      </c>
      <c r="K36" s="405">
        <f t="shared" si="4"/>
        <v>0</v>
      </c>
      <c r="L36" s="405">
        <f t="shared" si="5"/>
        <v>-220</v>
      </c>
      <c r="M36" s="405">
        <f t="shared" si="3"/>
        <v>0</v>
      </c>
      <c r="N36" s="405">
        <f t="shared" si="3"/>
        <v>0</v>
      </c>
    </row>
    <row r="37" spans="1:14">
      <c r="A37" s="396">
        <v>39113</v>
      </c>
      <c r="B37" s="397"/>
      <c r="C37" s="398" t="s">
        <v>272</v>
      </c>
      <c r="D37" s="399"/>
      <c r="E37" s="400"/>
      <c r="F37" s="401"/>
      <c r="G37" s="402"/>
      <c r="H37" s="403"/>
      <c r="I37" s="216" t="str">
        <f t="shared" si="6"/>
        <v/>
      </c>
      <c r="J37" s="217" t="str">
        <f t="shared" si="7"/>
        <v/>
      </c>
      <c r="K37" s="405">
        <f t="shared" si="4"/>
        <v>0</v>
      </c>
      <c r="L37" s="405">
        <f t="shared" si="5"/>
        <v>0</v>
      </c>
      <c r="M37" s="405">
        <f t="shared" si="3"/>
        <v>0</v>
      </c>
      <c r="N37" s="405">
        <f t="shared" si="3"/>
        <v>0</v>
      </c>
    </row>
    <row r="38" spans="1:14">
      <c r="A38" s="396"/>
      <c r="B38" s="397"/>
      <c r="C38" s="398" t="s">
        <v>263</v>
      </c>
      <c r="D38" s="399"/>
      <c r="E38" s="400"/>
      <c r="F38" s="401"/>
      <c r="G38" s="402"/>
      <c r="H38" s="403"/>
      <c r="I38" s="216" t="str">
        <f t="shared" si="6"/>
        <v/>
      </c>
      <c r="J38" s="217" t="str">
        <f t="shared" si="7"/>
        <v/>
      </c>
      <c r="K38" s="405">
        <v>500</v>
      </c>
      <c r="L38" s="405">
        <v>-500</v>
      </c>
      <c r="M38" s="405">
        <f t="shared" si="3"/>
        <v>0</v>
      </c>
      <c r="N38" s="405">
        <f t="shared" si="3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6"/>
        <v/>
      </c>
      <c r="J39" s="217" t="str">
        <f t="shared" si="7"/>
        <v/>
      </c>
      <c r="K39" s="405">
        <f t="shared" si="4"/>
        <v>0</v>
      </c>
      <c r="L39" s="405">
        <f t="shared" si="5"/>
        <v>0</v>
      </c>
      <c r="M39" s="405">
        <f t="shared" si="3"/>
        <v>0</v>
      </c>
      <c r="N39" s="405">
        <f t="shared" si="3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CONCATENATE(Jan.!A2," Februar ",'Kat. I'!$A$2)</f>
        <v xml:space="preserve">Finanzübersicht (Erfolgsrechnung) Monat Februar </v>
      </c>
      <c r="B1" s="1"/>
      <c r="K1" s="1" t="str">
        <f>CONCATENATE(Jan.!$K$2," Februar ",'Kat. I'!$A$2)</f>
        <v xml:space="preserve"> Februar </v>
      </c>
    </row>
    <row r="2" spans="1:14">
      <c r="C2" s="83" t="s">
        <v>18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Jan.!K7</f>
        <v>1560.75</v>
      </c>
      <c r="L5" s="5">
        <f>Jan.!L7</f>
        <v>-70</v>
      </c>
      <c r="M5" s="5">
        <f>Jan.!M7</f>
        <v>0</v>
      </c>
      <c r="N5" s="5">
        <f>Jan.!N7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$A$7-Jan.!$A$7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IF(Jan.!K12="","",Jan.!K12)</f>
        <v>Kasse</v>
      </c>
      <c r="L12" s="6" t="str">
        <f>IF(Jan.!L12="","",Jan.!L12)</f>
        <v>Lohnkonto</v>
      </c>
      <c r="M12" s="6" t="str">
        <f>IF(Jan.!M12="","",Jan.!M12)</f>
        <v/>
      </c>
      <c r="N12" s="6" t="str">
        <f>IF(Jan.!N12="","",Jan.!N12)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IF(Jan.!K14="","",Jan.!K14)</f>
        <v/>
      </c>
      <c r="L14" s="20" t="str">
        <f>IF(Jan.!L14="","",Jan.!L14)</f>
        <v/>
      </c>
      <c r="M14" s="20" t="str">
        <f>IF(Jan.!M14="","",Jan.!M14)</f>
        <v/>
      </c>
      <c r="N14" s="20" t="str">
        <f>IF(Jan.!N14="","",Jan.!N14)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39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29" si="1">IF(AND(H17="",OR(E17&lt;&gt;"",G17&lt;&gt;"")),"?","")</f>
        <v/>
      </c>
      <c r="J17" s="8" t="str">
        <f t="shared" ref="J17:J29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0"/>
        <v>0</v>
      </c>
      <c r="L25" s="405">
        <f t="shared" si="0"/>
        <v>0</v>
      </c>
      <c r="M25" s="405">
        <f t="shared" si="0"/>
        <v>0</v>
      </c>
      <c r="N25" s="405">
        <f t="shared" si="0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0"/>
        <v>0</v>
      </c>
      <c r="L26" s="405">
        <f t="shared" si="0"/>
        <v>0</v>
      </c>
      <c r="M26" s="405">
        <f t="shared" si="0"/>
        <v>0</v>
      </c>
      <c r="N26" s="405">
        <f t="shared" si="0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0"/>
        <v>0</v>
      </c>
      <c r="L27" s="405">
        <f t="shared" si="0"/>
        <v>0</v>
      </c>
      <c r="M27" s="405">
        <f t="shared" si="0"/>
        <v>0</v>
      </c>
      <c r="N27" s="405">
        <f t="shared" si="0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0"/>
        <v>0</v>
      </c>
      <c r="L28" s="405">
        <f t="shared" si="0"/>
        <v>0</v>
      </c>
      <c r="M28" s="405">
        <f t="shared" si="0"/>
        <v>0</v>
      </c>
      <c r="N28" s="405">
        <f t="shared" si="0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0"/>
        <v>0</v>
      </c>
      <c r="L29" s="405">
        <f>IF($H29=L$3,$E29+$G29,0)</f>
        <v>0</v>
      </c>
      <c r="M29" s="405">
        <f t="shared" si="0"/>
        <v>0</v>
      </c>
      <c r="N29" s="405">
        <f t="shared" si="0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ref="I30:I39" si="3">IF(AND(H30="",OR(E30&lt;&gt;"",G30&lt;&gt;"")),"?","")</f>
        <v/>
      </c>
      <c r="J30" s="8" t="str">
        <f t="shared" ref="J30:J39" si="4">IF(OR(E30&lt;0,G30&gt;0),"!","")</f>
        <v/>
      </c>
      <c r="K30" s="405">
        <f t="shared" si="0"/>
        <v>0</v>
      </c>
      <c r="L30" s="405">
        <f t="shared" si="0"/>
        <v>0</v>
      </c>
      <c r="M30" s="405">
        <f t="shared" si="0"/>
        <v>0</v>
      </c>
      <c r="N30" s="405">
        <f t="shared" si="0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si="3"/>
        <v/>
      </c>
      <c r="J31" s="8" t="str">
        <f t="shared" si="4"/>
        <v/>
      </c>
      <c r="K31" s="405">
        <f t="shared" si="0"/>
        <v>0</v>
      </c>
      <c r="L31" s="405">
        <f t="shared" si="0"/>
        <v>0</v>
      </c>
      <c r="M31" s="405">
        <f t="shared" si="0"/>
        <v>0</v>
      </c>
      <c r="N31" s="405">
        <f t="shared" si="0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3"/>
        <v/>
      </c>
      <c r="J32" s="8" t="str">
        <f t="shared" si="4"/>
        <v/>
      </c>
      <c r="K32" s="405">
        <f t="shared" si="0"/>
        <v>0</v>
      </c>
      <c r="L32" s="405">
        <f t="shared" si="0"/>
        <v>0</v>
      </c>
      <c r="M32" s="405">
        <f t="shared" si="0"/>
        <v>0</v>
      </c>
      <c r="N32" s="405">
        <f t="shared" si="0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3"/>
        <v/>
      </c>
      <c r="J33" s="8" t="str">
        <f t="shared" si="4"/>
        <v/>
      </c>
      <c r="K33" s="405">
        <f t="shared" si="0"/>
        <v>0</v>
      </c>
      <c r="L33" s="405">
        <f t="shared" si="0"/>
        <v>0</v>
      </c>
      <c r="M33" s="405">
        <f t="shared" si="0"/>
        <v>0</v>
      </c>
      <c r="N33" s="405">
        <f t="shared" si="0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3"/>
        <v/>
      </c>
      <c r="J34" s="8" t="str">
        <f t="shared" si="4"/>
        <v/>
      </c>
      <c r="K34" s="405">
        <f t="shared" si="0"/>
        <v>0</v>
      </c>
      <c r="L34" s="405">
        <f t="shared" si="0"/>
        <v>0</v>
      </c>
      <c r="M34" s="405">
        <f t="shared" si="0"/>
        <v>0</v>
      </c>
      <c r="N34" s="405">
        <f t="shared" si="0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3"/>
        <v/>
      </c>
      <c r="J35" s="8" t="str">
        <f t="shared" si="4"/>
        <v/>
      </c>
      <c r="K35" s="405">
        <f t="shared" si="0"/>
        <v>0</v>
      </c>
      <c r="L35" s="405">
        <f t="shared" si="0"/>
        <v>0</v>
      </c>
      <c r="M35" s="405">
        <f t="shared" si="0"/>
        <v>0</v>
      </c>
      <c r="N35" s="405">
        <f t="shared" si="0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3"/>
        <v/>
      </c>
      <c r="J36" s="8" t="str">
        <f t="shared" si="4"/>
        <v/>
      </c>
      <c r="K36" s="405">
        <f t="shared" si="0"/>
        <v>0</v>
      </c>
      <c r="L36" s="405">
        <f t="shared" si="0"/>
        <v>0</v>
      </c>
      <c r="M36" s="405">
        <f t="shared" si="0"/>
        <v>0</v>
      </c>
      <c r="N36" s="405">
        <f t="shared" si="0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3"/>
        <v/>
      </c>
      <c r="J37" s="8" t="str">
        <f t="shared" si="4"/>
        <v/>
      </c>
      <c r="K37" s="405">
        <f t="shared" si="0"/>
        <v>0</v>
      </c>
      <c r="L37" s="405">
        <f t="shared" si="0"/>
        <v>0</v>
      </c>
      <c r="M37" s="405">
        <f t="shared" si="0"/>
        <v>0</v>
      </c>
      <c r="N37" s="405">
        <f t="shared" si="0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3"/>
        <v/>
      </c>
      <c r="J38" s="8" t="str">
        <f t="shared" si="4"/>
        <v/>
      </c>
      <c r="K38" s="405">
        <f t="shared" si="0"/>
        <v>0</v>
      </c>
      <c r="L38" s="405">
        <f t="shared" si="0"/>
        <v>0</v>
      </c>
      <c r="M38" s="405">
        <f t="shared" si="0"/>
        <v>0</v>
      </c>
      <c r="N38" s="405">
        <f t="shared" si="0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3"/>
        <v/>
      </c>
      <c r="J39" s="8" t="str">
        <f t="shared" si="4"/>
        <v/>
      </c>
      <c r="K39" s="405">
        <f t="shared" si="0"/>
        <v>0</v>
      </c>
      <c r="L39" s="405">
        <f t="shared" si="0"/>
        <v>0</v>
      </c>
      <c r="M39" s="405">
        <f t="shared" si="0"/>
        <v>0</v>
      </c>
      <c r="N39" s="405">
        <f t="shared" si="0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März ",'Kat. I'!$A$2)</f>
        <v xml:space="preserve">Finanzübersicht (Erfolgsrechnung) Monat März </v>
      </c>
      <c r="B1" s="1"/>
      <c r="K1" s="1" t="str">
        <f>CONCATENATE(Jan.!$K$2," März ",'Kat. I'!$A$2)</f>
        <v xml:space="preserve"> März </v>
      </c>
    </row>
    <row r="2" spans="1:14">
      <c r="C2" s="83" t="s">
        <v>19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Feb.!K7</f>
        <v>1560.75</v>
      </c>
      <c r="L5" s="5">
        <f>Feb.!L7</f>
        <v>-70</v>
      </c>
      <c r="M5" s="5">
        <f>Feb.!M7</f>
        <v>0</v>
      </c>
      <c r="N5" s="5">
        <f>Feb.!N7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$A$7-Feb.!$A$7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IF(Feb.!K12="","",Feb.!K12)</f>
        <v>Kasse</v>
      </c>
      <c r="L12" s="6" t="str">
        <f>IF(Feb.!L12="","",Feb.!L12)</f>
        <v>Lohnkonto</v>
      </c>
      <c r="M12" s="6" t="str">
        <f>IF(Feb.!M12="","",Feb.!M12)</f>
        <v/>
      </c>
      <c r="N12" s="6" t="str">
        <f>IF(Feb.!N12="","",Feb.!N12)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IF(Feb.!K14="","",Feb.!K14)</f>
        <v/>
      </c>
      <c r="L14" s="20" t="str">
        <f>IF(Feb.!L14="","",Feb.!L14)</f>
        <v/>
      </c>
      <c r="M14" s="20" t="str">
        <f>IF(Feb.!M14="","",Feb.!M14)</f>
        <v/>
      </c>
      <c r="N14" s="20" t="str">
        <f>IF(Feb.!N14="","",Feb.!N14)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16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ref="K17:L39" si="3">IF($H17=K$3,$E17+$G17,0)</f>
        <v>0</v>
      </c>
      <c r="L17" s="405">
        <f t="shared" si="3"/>
        <v>0</v>
      </c>
      <c r="M17" s="405">
        <f t="shared" ref="M17:N39" si="4">IF($H17=M$3,$E17+$G17,0)</f>
        <v>0</v>
      </c>
      <c r="N17" s="405">
        <f t="shared" si="4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3"/>
        <v>0</v>
      </c>
      <c r="L18" s="405">
        <f t="shared" si="3"/>
        <v>0</v>
      </c>
      <c r="M18" s="405">
        <f t="shared" si="4"/>
        <v>0</v>
      </c>
      <c r="N18" s="405">
        <f t="shared" si="4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3"/>
        <v>0</v>
      </c>
      <c r="L19" s="405">
        <f t="shared" si="3"/>
        <v>0</v>
      </c>
      <c r="M19" s="405">
        <f t="shared" si="4"/>
        <v>0</v>
      </c>
      <c r="N19" s="405">
        <f t="shared" si="4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3"/>
        <v>0</v>
      </c>
      <c r="L20" s="405">
        <f t="shared" si="3"/>
        <v>0</v>
      </c>
      <c r="M20" s="405">
        <f t="shared" si="4"/>
        <v>0</v>
      </c>
      <c r="N20" s="405">
        <f t="shared" si="4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3"/>
        <v>0</v>
      </c>
      <c r="L21" s="405">
        <f t="shared" si="3"/>
        <v>0</v>
      </c>
      <c r="M21" s="405">
        <f t="shared" si="4"/>
        <v>0</v>
      </c>
      <c r="N21" s="405">
        <f t="shared" si="4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3"/>
        <v>0</v>
      </c>
      <c r="L22" s="405">
        <f t="shared" si="3"/>
        <v>0</v>
      </c>
      <c r="M22" s="405">
        <f t="shared" si="4"/>
        <v>0</v>
      </c>
      <c r="N22" s="405">
        <f t="shared" si="4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3"/>
        <v>0</v>
      </c>
      <c r="L23" s="405">
        <f t="shared" si="3"/>
        <v>0</v>
      </c>
      <c r="M23" s="405">
        <f t="shared" si="4"/>
        <v>0</v>
      </c>
      <c r="N23" s="405">
        <f t="shared" si="4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3"/>
        <v>0</v>
      </c>
      <c r="L24" s="405">
        <f t="shared" si="3"/>
        <v>0</v>
      </c>
      <c r="M24" s="405">
        <f t="shared" si="4"/>
        <v>0</v>
      </c>
      <c r="N24" s="405">
        <f t="shared" si="4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3"/>
        <v>0</v>
      </c>
      <c r="L25" s="405">
        <f t="shared" si="3"/>
        <v>0</v>
      </c>
      <c r="M25" s="405">
        <f t="shared" si="4"/>
        <v>0</v>
      </c>
      <c r="N25" s="405">
        <f t="shared" si="4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3"/>
        <v>0</v>
      </c>
      <c r="L26" s="405">
        <f t="shared" si="3"/>
        <v>0</v>
      </c>
      <c r="M26" s="405">
        <f t="shared" si="4"/>
        <v>0</v>
      </c>
      <c r="N26" s="405">
        <f t="shared" si="4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3"/>
        <v>0</v>
      </c>
      <c r="L27" s="405">
        <f t="shared" si="3"/>
        <v>0</v>
      </c>
      <c r="M27" s="405">
        <f t="shared" si="4"/>
        <v>0</v>
      </c>
      <c r="N27" s="405">
        <f t="shared" si="4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3"/>
        <v>0</v>
      </c>
      <c r="L28" s="405">
        <f t="shared" si="3"/>
        <v>0</v>
      </c>
      <c r="M28" s="405">
        <f t="shared" si="4"/>
        <v>0</v>
      </c>
      <c r="N28" s="405">
        <f t="shared" si="4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3"/>
        <v>0</v>
      </c>
      <c r="L29" s="405">
        <f t="shared" si="3"/>
        <v>0</v>
      </c>
      <c r="M29" s="405">
        <f t="shared" si="4"/>
        <v>0</v>
      </c>
      <c r="N29" s="405">
        <f t="shared" si="4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3"/>
        <v>0</v>
      </c>
      <c r="L30" s="405">
        <f t="shared" si="3"/>
        <v>0</v>
      </c>
      <c r="M30" s="405">
        <f t="shared" si="4"/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5">IF(AND(H31="",OR(E31&lt;&gt;"",G31&lt;&gt;"")),"?","")</f>
        <v/>
      </c>
      <c r="J31" s="8" t="str">
        <f t="shared" ref="J31:J39" si="6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3"/>
        <v>0</v>
      </c>
      <c r="L32" s="405">
        <f t="shared" si="3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3"/>
        <v>0</v>
      </c>
      <c r="L33" s="405">
        <f t="shared" si="3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3"/>
        <v>0</v>
      </c>
      <c r="L34" s="405">
        <f t="shared" si="3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3"/>
        <v>0</v>
      </c>
      <c r="L35" s="405">
        <f t="shared" si="3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3"/>
        <v>0</v>
      </c>
      <c r="L36" s="405">
        <f t="shared" si="3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5"/>
        <v/>
      </c>
      <c r="J37" s="8" t="str">
        <f t="shared" si="6"/>
        <v/>
      </c>
      <c r="K37" s="405">
        <f t="shared" si="3"/>
        <v>0</v>
      </c>
      <c r="L37" s="405">
        <f t="shared" si="3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5"/>
        <v/>
      </c>
      <c r="J38" s="8" t="str">
        <f t="shared" si="6"/>
        <v/>
      </c>
      <c r="K38" s="405">
        <f t="shared" si="3"/>
        <v>0</v>
      </c>
      <c r="L38" s="405">
        <f t="shared" si="3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5"/>
        <v/>
      </c>
      <c r="J39" s="8" t="str">
        <f t="shared" si="6"/>
        <v/>
      </c>
      <c r="K39" s="405">
        <f t="shared" si="3"/>
        <v>0</v>
      </c>
      <c r="L39" s="405">
        <f t="shared" si="3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April ",'Kat. I'!$A$2)</f>
        <v xml:space="preserve">Finanzübersicht (Erfolgsrechnung) Monat April </v>
      </c>
      <c r="B1" s="1"/>
      <c r="K1" s="1" t="str">
        <f>CONCATENATE(Jan.!$K$2," April ",'Kat. I'!$A$2)</f>
        <v xml:space="preserve"> April </v>
      </c>
    </row>
    <row r="2" spans="1:14">
      <c r="C2" s="83" t="s">
        <v>22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März!K7</f>
        <v>1560.75</v>
      </c>
      <c r="L5" s="5">
        <f>März!L7</f>
        <v>-70</v>
      </c>
      <c r="M5" s="5">
        <f>März!M7</f>
        <v>0</v>
      </c>
      <c r="N5" s="5">
        <f>März!N7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$A$7-März!$A$7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IF(März!K12="","",März!K12)</f>
        <v>Kasse</v>
      </c>
      <c r="L12" s="6" t="str">
        <f>IF(März!L12="","",März!L12)</f>
        <v>Lohnkonto</v>
      </c>
      <c r="M12" s="6" t="str">
        <f>IF(März!M12="","",März!M12)</f>
        <v/>
      </c>
      <c r="N12" s="6" t="str">
        <f>IF(März!N12="","",März!N12)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IF(März!K14="","",März!K14)</f>
        <v/>
      </c>
      <c r="L14" s="20" t="str">
        <f>IF(März!L14="","",März!L14)</f>
        <v/>
      </c>
      <c r="M14" s="20" t="str">
        <f>IF(März!M14="","",März!M14)</f>
        <v/>
      </c>
      <c r="N14" s="20" t="str">
        <f>IF(März!N14="","",März!N14)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>IF($H15=K$3,$E15+$G15,0)</f>
        <v>0</v>
      </c>
      <c r="L15" s="404">
        <f>IF($H15=L$3,$E15+$G15,0)</f>
        <v>0</v>
      </c>
      <c r="M15" s="404">
        <f>IF($H15=M$3,$E15+$G15,0)</f>
        <v>0</v>
      </c>
      <c r="N15" s="404">
        <f>IF($H15=N$3,$E15+$G15,0)</f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ref="K16:N39" si="0">IF($H16=K$3,$E16+$G16,0)</f>
        <v>0</v>
      </c>
      <c r="L16" s="405">
        <f t="shared" si="0"/>
        <v>0</v>
      </c>
      <c r="M16" s="405">
        <f>IF($H16=M$3,$E16+$G16,0)</f>
        <v>0</v>
      </c>
      <c r="N16" s="405">
        <f>IF($H16=N$3,$E16+$G16,0)</f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>IF($H17=M$3,$E17+$G17,0)</f>
        <v>0</v>
      </c>
      <c r="N17" s="405">
        <f>IF($H17=N$3,$E17+$G17,0)</f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0"/>
        <v>0</v>
      </c>
      <c r="L23" s="405">
        <f t="shared" si="0"/>
        <v>0</v>
      </c>
      <c r="M23" s="405">
        <f t="shared" si="0"/>
        <v>0</v>
      </c>
      <c r="N23" s="405">
        <f t="shared" si="0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0"/>
        <v>0</v>
      </c>
      <c r="L24" s="405">
        <f t="shared" si="0"/>
        <v>0</v>
      </c>
      <c r="M24" s="405">
        <f t="shared" si="0"/>
        <v>0</v>
      </c>
      <c r="N24" s="405">
        <f t="shared" si="0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0"/>
        <v>0</v>
      </c>
      <c r="L25" s="405">
        <f t="shared" si="0"/>
        <v>0</v>
      </c>
      <c r="M25" s="405">
        <f t="shared" si="0"/>
        <v>0</v>
      </c>
      <c r="N25" s="405">
        <f t="shared" si="0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0"/>
        <v>0</v>
      </c>
      <c r="L26" s="405">
        <f t="shared" si="0"/>
        <v>0</v>
      </c>
      <c r="M26" s="405">
        <f t="shared" si="0"/>
        <v>0</v>
      </c>
      <c r="N26" s="405">
        <f t="shared" si="0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0"/>
        <v>0</v>
      </c>
      <c r="L27" s="405">
        <f t="shared" si="0"/>
        <v>0</v>
      </c>
      <c r="M27" s="405">
        <f t="shared" si="0"/>
        <v>0</v>
      </c>
      <c r="N27" s="405">
        <f t="shared" si="0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0"/>
        <v>0</v>
      </c>
      <c r="L28" s="405">
        <f t="shared" si="0"/>
        <v>0</v>
      </c>
      <c r="M28" s="405">
        <f t="shared" si="0"/>
        <v>0</v>
      </c>
      <c r="N28" s="405">
        <f t="shared" si="0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0"/>
        <v>0</v>
      </c>
      <c r="L29" s="405">
        <f t="shared" si="0"/>
        <v>0</v>
      </c>
      <c r="M29" s="405">
        <f t="shared" si="0"/>
        <v>0</v>
      </c>
      <c r="N29" s="405">
        <f t="shared" si="0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ref="K30:L33" si="3">IF($H30=K$3,$E30+$G30,0)</f>
        <v>0</v>
      </c>
      <c r="L30" s="405">
        <f t="shared" si="3"/>
        <v>0</v>
      </c>
      <c r="M30" s="405">
        <f t="shared" si="0"/>
        <v>0</v>
      </c>
      <c r="N30" s="405">
        <f t="shared" si="0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4">IF(AND(H31="",OR(E31&lt;&gt;"",G31&lt;&gt;"")),"?","")</f>
        <v/>
      </c>
      <c r="J31" s="8" t="str">
        <f t="shared" ref="J31:J39" si="5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0"/>
        <v>0</v>
      </c>
      <c r="N31" s="405">
        <f t="shared" si="0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4"/>
        <v/>
      </c>
      <c r="J32" s="8" t="str">
        <f t="shared" si="5"/>
        <v/>
      </c>
      <c r="K32" s="405">
        <f t="shared" si="3"/>
        <v>0</v>
      </c>
      <c r="L32" s="405">
        <f t="shared" si="3"/>
        <v>0</v>
      </c>
      <c r="M32" s="405">
        <f t="shared" si="0"/>
        <v>0</v>
      </c>
      <c r="N32" s="405">
        <f t="shared" si="0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4"/>
        <v/>
      </c>
      <c r="J33" s="8" t="str">
        <f t="shared" si="5"/>
        <v/>
      </c>
      <c r="K33" s="405">
        <f t="shared" si="3"/>
        <v>0</v>
      </c>
      <c r="L33" s="405">
        <f t="shared" si="3"/>
        <v>0</v>
      </c>
      <c r="M33" s="405">
        <f t="shared" si="0"/>
        <v>0</v>
      </c>
      <c r="N33" s="405">
        <f t="shared" si="0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4"/>
        <v/>
      </c>
      <c r="J34" s="8" t="str">
        <f t="shared" si="5"/>
        <v/>
      </c>
      <c r="K34" s="405">
        <f t="shared" si="0"/>
        <v>0</v>
      </c>
      <c r="L34" s="405">
        <f t="shared" si="0"/>
        <v>0</v>
      </c>
      <c r="M34" s="405">
        <f t="shared" si="0"/>
        <v>0</v>
      </c>
      <c r="N34" s="405">
        <f t="shared" si="0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4"/>
        <v/>
      </c>
      <c r="J35" s="8" t="str">
        <f t="shared" si="5"/>
        <v/>
      </c>
      <c r="K35" s="405">
        <f t="shared" si="0"/>
        <v>0</v>
      </c>
      <c r="L35" s="405">
        <f t="shared" si="0"/>
        <v>0</v>
      </c>
      <c r="M35" s="405">
        <f t="shared" si="0"/>
        <v>0</v>
      </c>
      <c r="N35" s="405">
        <f t="shared" si="0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4"/>
        <v/>
      </c>
      <c r="J36" s="8" t="str">
        <f t="shared" si="5"/>
        <v/>
      </c>
      <c r="K36" s="405">
        <f t="shared" si="0"/>
        <v>0</v>
      </c>
      <c r="L36" s="405">
        <f t="shared" si="0"/>
        <v>0</v>
      </c>
      <c r="M36" s="405">
        <f t="shared" si="0"/>
        <v>0</v>
      </c>
      <c r="N36" s="405">
        <f t="shared" si="0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4"/>
        <v/>
      </c>
      <c r="J37" s="8" t="str">
        <f t="shared" si="5"/>
        <v/>
      </c>
      <c r="K37" s="405">
        <f t="shared" si="0"/>
        <v>0</v>
      </c>
      <c r="L37" s="405">
        <f t="shared" si="0"/>
        <v>0</v>
      </c>
      <c r="M37" s="405">
        <f t="shared" si="0"/>
        <v>0</v>
      </c>
      <c r="N37" s="405">
        <f t="shared" si="0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4"/>
        <v/>
      </c>
      <c r="J38" s="8" t="str">
        <f t="shared" si="5"/>
        <v/>
      </c>
      <c r="K38" s="405">
        <f t="shared" si="0"/>
        <v>0</v>
      </c>
      <c r="L38" s="405">
        <f t="shared" si="0"/>
        <v>0</v>
      </c>
      <c r="M38" s="405">
        <f t="shared" si="0"/>
        <v>0</v>
      </c>
      <c r="N38" s="405">
        <f t="shared" si="0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4"/>
        <v/>
      </c>
      <c r="J39" s="8" t="str">
        <f t="shared" si="5"/>
        <v/>
      </c>
      <c r="K39" s="405">
        <f t="shared" si="0"/>
        <v>0</v>
      </c>
      <c r="L39" s="405">
        <f t="shared" si="0"/>
        <v>0</v>
      </c>
      <c r="M39" s="405">
        <f t="shared" si="0"/>
        <v>0</v>
      </c>
      <c r="N39" s="405">
        <f t="shared" si="0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Mai ",'Kat. I'!$A$2)</f>
        <v xml:space="preserve">Finanzübersicht (Erfolgsrechnung) Monat Mai </v>
      </c>
      <c r="B1" s="1"/>
      <c r="K1" s="1" t="str">
        <f>CONCATENATE(Jan.!$K$2," Mai ",'Kat. I'!$A$2)</f>
        <v xml:space="preserve"> Mai </v>
      </c>
    </row>
    <row r="2" spans="1:14">
      <c r="C2" s="83" t="s">
        <v>23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April!K7</f>
        <v>1560.75</v>
      </c>
      <c r="L5" s="5">
        <f>April!L7</f>
        <v>-70</v>
      </c>
      <c r="M5" s="5">
        <f>April!M7</f>
        <v>0</v>
      </c>
      <c r="N5" s="5">
        <f>April!N7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$A$7-April!$A$7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IF(April!K12="","",April!K12)</f>
        <v>Kasse</v>
      </c>
      <c r="L12" s="6" t="str">
        <f>IF(April!L12="","",April!L12)</f>
        <v>Lohnkonto</v>
      </c>
      <c r="M12" s="6" t="str">
        <f>IF(April!M12="","",April!M12)</f>
        <v/>
      </c>
      <c r="N12" s="6" t="str">
        <f>IF(April!N12="","",April!N12)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IF(April!K14="","",April!K14)</f>
        <v/>
      </c>
      <c r="L14" s="20" t="str">
        <f>IF(April!L14="","",April!L14)</f>
        <v/>
      </c>
      <c r="M14" s="20" t="str">
        <f>IF(April!M14="","",April!M14)</f>
        <v/>
      </c>
      <c r="N14" s="20" t="str">
        <f>IF(April!N14="","",April!N14)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>IF($H15=K$3,$E15+$G15,0)</f>
        <v>0</v>
      </c>
      <c r="L15" s="404">
        <f>IF($H15=L$3,$E15+$G15,0)</f>
        <v>0</v>
      </c>
      <c r="M15" s="404">
        <f>IF($H15=M$3,$E15+$G15,0)</f>
        <v>0</v>
      </c>
      <c r="N15" s="404">
        <f>IF($H15=N$3,$E15+$G15,0)</f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ref="K16:L19" si="0">IF($H16=K$3,$E16+$G16,0)</f>
        <v>0</v>
      </c>
      <c r="L16" s="405">
        <f t="shared" si="0"/>
        <v>0</v>
      </c>
      <c r="M16" s="405">
        <f t="shared" ref="M16:N19" si="1">IF($H16=M$3,$E16+$G16,0)</f>
        <v>0</v>
      </c>
      <c r="N16" s="405">
        <f t="shared" si="1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2">IF(AND(H17="",OR(E17&lt;&gt;"",G17&lt;&gt;"")),"?","")</f>
        <v/>
      </c>
      <c r="J17" s="8" t="str">
        <f t="shared" ref="J17:J30" si="3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1"/>
        <v>0</v>
      </c>
      <c r="N17" s="405">
        <f t="shared" si="1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2"/>
        <v/>
      </c>
      <c r="J18" s="8" t="str">
        <f t="shared" si="3"/>
        <v/>
      </c>
      <c r="K18" s="405">
        <f t="shared" si="0"/>
        <v>0</v>
      </c>
      <c r="L18" s="405">
        <f t="shared" si="0"/>
        <v>0</v>
      </c>
      <c r="M18" s="405">
        <f t="shared" si="1"/>
        <v>0</v>
      </c>
      <c r="N18" s="405">
        <f t="shared" si="1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2"/>
        <v/>
      </c>
      <c r="J19" s="8" t="str">
        <f t="shared" si="3"/>
        <v/>
      </c>
      <c r="K19" s="405">
        <f t="shared" si="0"/>
        <v>0</v>
      </c>
      <c r="L19" s="405">
        <f t="shared" si="0"/>
        <v>0</v>
      </c>
      <c r="M19" s="405">
        <f t="shared" si="1"/>
        <v>0</v>
      </c>
      <c r="N19" s="405">
        <f t="shared" si="1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2"/>
        <v/>
      </c>
      <c r="J20" s="8" t="str">
        <f t="shared" si="3"/>
        <v/>
      </c>
      <c r="K20" s="405">
        <f t="shared" ref="K20:N39" si="4">IF($H20=K$3,$E20+$G20,0)</f>
        <v>0</v>
      </c>
      <c r="L20" s="405">
        <f t="shared" si="4"/>
        <v>0</v>
      </c>
      <c r="M20" s="405">
        <f t="shared" si="4"/>
        <v>0</v>
      </c>
      <c r="N20" s="405">
        <f t="shared" si="4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2"/>
        <v/>
      </c>
      <c r="J21" s="8" t="str">
        <f t="shared" si="3"/>
        <v/>
      </c>
      <c r="K21" s="405">
        <f t="shared" si="4"/>
        <v>0</v>
      </c>
      <c r="L21" s="405">
        <f t="shared" si="4"/>
        <v>0</v>
      </c>
      <c r="M21" s="405">
        <f t="shared" si="4"/>
        <v>0</v>
      </c>
      <c r="N21" s="405">
        <f t="shared" si="4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2"/>
        <v/>
      </c>
      <c r="J22" s="8" t="str">
        <f t="shared" si="3"/>
        <v/>
      </c>
      <c r="K22" s="405">
        <f t="shared" si="4"/>
        <v>0</v>
      </c>
      <c r="L22" s="405">
        <f t="shared" si="4"/>
        <v>0</v>
      </c>
      <c r="M22" s="405">
        <f t="shared" si="4"/>
        <v>0</v>
      </c>
      <c r="N22" s="405">
        <f t="shared" si="4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2"/>
        <v/>
      </c>
      <c r="J23" s="8" t="str">
        <f t="shared" si="3"/>
        <v/>
      </c>
      <c r="K23" s="405">
        <f t="shared" si="4"/>
        <v>0</v>
      </c>
      <c r="L23" s="405">
        <f t="shared" si="4"/>
        <v>0</v>
      </c>
      <c r="M23" s="405">
        <f t="shared" si="4"/>
        <v>0</v>
      </c>
      <c r="N23" s="405">
        <f t="shared" si="4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2"/>
        <v/>
      </c>
      <c r="J24" s="8" t="str">
        <f t="shared" si="3"/>
        <v/>
      </c>
      <c r="K24" s="405">
        <f>IF($H24=K$3,$E24+$G24,0)</f>
        <v>0</v>
      </c>
      <c r="L24" s="405">
        <f>IF($H24=L$3,$E24+$G24,0)</f>
        <v>0</v>
      </c>
      <c r="M24" s="405">
        <f t="shared" si="4"/>
        <v>0</v>
      </c>
      <c r="N24" s="405">
        <f t="shared" si="4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2"/>
        <v/>
      </c>
      <c r="J25" s="8" t="str">
        <f t="shared" si="3"/>
        <v/>
      </c>
      <c r="K25" s="405">
        <f>IF($H25=K$3,$E25+$G25,0)</f>
        <v>0</v>
      </c>
      <c r="L25" s="405">
        <f>IF($H25=L$3,$E25+$G25,0)</f>
        <v>0</v>
      </c>
      <c r="M25" s="405">
        <f t="shared" si="4"/>
        <v>0</v>
      </c>
      <c r="N25" s="405">
        <f t="shared" si="4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2"/>
        <v/>
      </c>
      <c r="J26" s="8" t="str">
        <f t="shared" si="3"/>
        <v/>
      </c>
      <c r="K26" s="405">
        <f t="shared" si="4"/>
        <v>0</v>
      </c>
      <c r="L26" s="405">
        <f t="shared" si="4"/>
        <v>0</v>
      </c>
      <c r="M26" s="405">
        <f t="shared" si="4"/>
        <v>0</v>
      </c>
      <c r="N26" s="405">
        <f t="shared" si="4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2"/>
        <v/>
      </c>
      <c r="J27" s="8" t="str">
        <f t="shared" si="3"/>
        <v/>
      </c>
      <c r="K27" s="405">
        <f t="shared" si="4"/>
        <v>0</v>
      </c>
      <c r="L27" s="405">
        <f t="shared" si="4"/>
        <v>0</v>
      </c>
      <c r="M27" s="405">
        <f t="shared" si="4"/>
        <v>0</v>
      </c>
      <c r="N27" s="405">
        <f t="shared" si="4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2"/>
        <v/>
      </c>
      <c r="J28" s="8" t="str">
        <f t="shared" si="3"/>
        <v/>
      </c>
      <c r="K28" s="405">
        <f t="shared" si="4"/>
        <v>0</v>
      </c>
      <c r="L28" s="405">
        <f t="shared" si="4"/>
        <v>0</v>
      </c>
      <c r="M28" s="405">
        <f t="shared" si="4"/>
        <v>0</v>
      </c>
      <c r="N28" s="405">
        <f t="shared" si="4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2"/>
        <v/>
      </c>
      <c r="J29" s="8" t="str">
        <f t="shared" si="3"/>
        <v/>
      </c>
      <c r="K29" s="405">
        <f t="shared" si="4"/>
        <v>0</v>
      </c>
      <c r="L29" s="405">
        <f t="shared" si="4"/>
        <v>0</v>
      </c>
      <c r="M29" s="405">
        <f t="shared" si="4"/>
        <v>0</v>
      </c>
      <c r="N29" s="405">
        <f t="shared" si="4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2"/>
        <v/>
      </c>
      <c r="J30" s="8" t="str">
        <f t="shared" si="3"/>
        <v/>
      </c>
      <c r="K30" s="405">
        <f t="shared" si="4"/>
        <v>0</v>
      </c>
      <c r="L30" s="405">
        <f t="shared" si="4"/>
        <v>0</v>
      </c>
      <c r="M30" s="405">
        <f t="shared" si="4"/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5">IF(AND(H31="",OR(E31&lt;&gt;"",G31&lt;&gt;"")),"?","")</f>
        <v/>
      </c>
      <c r="J31" s="8" t="str">
        <f t="shared" ref="J31:J39" si="6">IF(OR(E31&lt;0,G31&gt;0),"!","")</f>
        <v/>
      </c>
      <c r="K31" s="405">
        <f t="shared" si="4"/>
        <v>0</v>
      </c>
      <c r="L31" s="405">
        <f t="shared" si="4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4"/>
        <v>0</v>
      </c>
      <c r="L32" s="405">
        <f t="shared" si="4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4"/>
        <v>0</v>
      </c>
      <c r="L33" s="405">
        <f t="shared" si="4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4"/>
        <v>0</v>
      </c>
      <c r="L34" s="405">
        <f t="shared" si="4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4"/>
        <v>0</v>
      </c>
      <c r="L35" s="405">
        <f t="shared" si="4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4"/>
        <v>0</v>
      </c>
      <c r="L36" s="405">
        <f t="shared" si="4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5"/>
        <v/>
      </c>
      <c r="J37" s="8" t="str">
        <f t="shared" si="6"/>
        <v/>
      </c>
      <c r="K37" s="405">
        <f t="shared" si="4"/>
        <v>0</v>
      </c>
      <c r="L37" s="405">
        <f t="shared" si="4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5"/>
        <v/>
      </c>
      <c r="J38" s="8" t="str">
        <f t="shared" si="6"/>
        <v/>
      </c>
      <c r="K38" s="405">
        <f t="shared" si="4"/>
        <v>0</v>
      </c>
      <c r="L38" s="405">
        <f t="shared" si="4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5"/>
        <v/>
      </c>
      <c r="J39" s="8" t="str">
        <f t="shared" si="6"/>
        <v/>
      </c>
      <c r="K39" s="405">
        <f t="shared" si="4"/>
        <v>0</v>
      </c>
      <c r="L39" s="405">
        <f t="shared" si="4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Juni ",'Kat. I'!$A$2)</f>
        <v xml:space="preserve">Finanzübersicht (Erfolgsrechnung) Monat Juni </v>
      </c>
      <c r="B1" s="1"/>
      <c r="K1" s="1" t="str">
        <f>CONCATENATE(Jan.!$K$2," Juni ",'Kat. I'!$A$2)</f>
        <v xml:space="preserve"> Juni </v>
      </c>
    </row>
    <row r="2" spans="1:14">
      <c r="C2" s="83" t="s">
        <v>27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Mai!K7</f>
        <v>1560.75</v>
      </c>
      <c r="L5" s="5">
        <f>Mai!L7</f>
        <v>-70</v>
      </c>
      <c r="M5" s="5">
        <f>Mai!M7</f>
        <v>0</v>
      </c>
      <c r="N5" s="5">
        <f>Mai!N7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$A$7-Mai!$A$7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IF(Mai!K12="","",Mai!K12)</f>
        <v>Kasse</v>
      </c>
      <c r="L12" s="6" t="str">
        <f>IF(Mai!L12="","",Mai!L12)</f>
        <v>Lohnkonto</v>
      </c>
      <c r="M12" s="6" t="str">
        <f>IF(Mai!M12="","",Mai!M12)</f>
        <v/>
      </c>
      <c r="N12" s="6" t="str">
        <f>IF(Mai!N12="","",Mai!N12)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IF(Mai!K14="","",Mai!K14)</f>
        <v/>
      </c>
      <c r="L14" s="20" t="str">
        <f>IF(Mai!L14="","",Mai!L14)</f>
        <v/>
      </c>
      <c r="M14" s="20" t="str">
        <f>IF(Mai!M14="","",Mai!M14)</f>
        <v/>
      </c>
      <c r="N14" s="20" t="str">
        <f>IF(Mai!N14="","",Mai!N14)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16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ref="K17:L39" si="3">IF($H17=K$3,$E17+$G17,0)</f>
        <v>0</v>
      </c>
      <c r="L17" s="405">
        <f t="shared" si="3"/>
        <v>0</v>
      </c>
      <c r="M17" s="405">
        <f t="shared" ref="M17:N39" si="4">IF($H17=M$3,$E17+$G17,0)</f>
        <v>0</v>
      </c>
      <c r="N17" s="405">
        <f t="shared" si="4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3"/>
        <v>0</v>
      </c>
      <c r="L18" s="405">
        <f t="shared" si="3"/>
        <v>0</v>
      </c>
      <c r="M18" s="405">
        <f t="shared" si="4"/>
        <v>0</v>
      </c>
      <c r="N18" s="405">
        <f t="shared" si="4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3"/>
        <v>0</v>
      </c>
      <c r="L19" s="405">
        <f t="shared" si="3"/>
        <v>0</v>
      </c>
      <c r="M19" s="405">
        <f t="shared" si="4"/>
        <v>0</v>
      </c>
      <c r="N19" s="405">
        <f t="shared" si="4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3"/>
        <v>0</v>
      </c>
      <c r="L20" s="405">
        <f t="shared" si="3"/>
        <v>0</v>
      </c>
      <c r="M20" s="405">
        <f t="shared" si="4"/>
        <v>0</v>
      </c>
      <c r="N20" s="405">
        <f t="shared" si="4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3"/>
        <v>0</v>
      </c>
      <c r="L21" s="405">
        <f t="shared" si="3"/>
        <v>0</v>
      </c>
      <c r="M21" s="405">
        <f t="shared" si="4"/>
        <v>0</v>
      </c>
      <c r="N21" s="405">
        <f t="shared" si="4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3"/>
        <v>0</v>
      </c>
      <c r="L22" s="405">
        <f t="shared" si="3"/>
        <v>0</v>
      </c>
      <c r="M22" s="405">
        <f t="shared" si="4"/>
        <v>0</v>
      </c>
      <c r="N22" s="405">
        <f t="shared" si="4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si="3"/>
        <v>0</v>
      </c>
      <c r="L23" s="405">
        <f t="shared" si="3"/>
        <v>0</v>
      </c>
      <c r="M23" s="405">
        <f t="shared" si="4"/>
        <v>0</v>
      </c>
      <c r="N23" s="405">
        <f t="shared" si="4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3"/>
        <v>0</v>
      </c>
      <c r="L24" s="405">
        <f t="shared" si="3"/>
        <v>0</v>
      </c>
      <c r="M24" s="405">
        <f t="shared" si="4"/>
        <v>0</v>
      </c>
      <c r="N24" s="405">
        <f t="shared" si="4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3"/>
        <v>0</v>
      </c>
      <c r="L25" s="405">
        <f t="shared" si="3"/>
        <v>0</v>
      </c>
      <c r="M25" s="405">
        <f t="shared" si="4"/>
        <v>0</v>
      </c>
      <c r="N25" s="405">
        <f t="shared" si="4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3"/>
        <v>0</v>
      </c>
      <c r="L26" s="405">
        <f t="shared" si="3"/>
        <v>0</v>
      </c>
      <c r="M26" s="405">
        <f t="shared" si="4"/>
        <v>0</v>
      </c>
      <c r="N26" s="405">
        <f t="shared" si="4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3"/>
        <v>0</v>
      </c>
      <c r="L27" s="405">
        <f t="shared" si="3"/>
        <v>0</v>
      </c>
      <c r="M27" s="405">
        <f t="shared" si="4"/>
        <v>0</v>
      </c>
      <c r="N27" s="405">
        <f t="shared" si="4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3"/>
        <v>0</v>
      </c>
      <c r="L28" s="405">
        <f t="shared" si="3"/>
        <v>0</v>
      </c>
      <c r="M28" s="405">
        <f t="shared" si="4"/>
        <v>0</v>
      </c>
      <c r="N28" s="405">
        <f t="shared" si="4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3"/>
        <v>0</v>
      </c>
      <c r="L29" s="405">
        <f t="shared" si="3"/>
        <v>0</v>
      </c>
      <c r="M29" s="405">
        <f t="shared" si="4"/>
        <v>0</v>
      </c>
      <c r="N29" s="405">
        <f t="shared" si="4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3"/>
        <v>0</v>
      </c>
      <c r="L30" s="405">
        <f t="shared" si="3"/>
        <v>0</v>
      </c>
      <c r="M30" s="405">
        <f t="shared" si="4"/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6" si="5">IF(AND(H31="",OR(E31&lt;&gt;"",G31&lt;&gt;"")),"?","")</f>
        <v/>
      </c>
      <c r="J31" s="8" t="str">
        <f t="shared" ref="J31:J36" si="6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3"/>
        <v>0</v>
      </c>
      <c r="L32" s="405">
        <f t="shared" si="3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3"/>
        <v>0</v>
      </c>
      <c r="L33" s="405">
        <f t="shared" si="3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3"/>
        <v>0</v>
      </c>
      <c r="L34" s="405">
        <f t="shared" si="3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3"/>
        <v>0</v>
      </c>
      <c r="L35" s="405">
        <f t="shared" si="3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3"/>
        <v>0</v>
      </c>
      <c r="L36" s="405">
        <f t="shared" si="3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>IF(AND(H37="",OR(E37&lt;&gt;"",G37&lt;&gt;"")),"?","")</f>
        <v/>
      </c>
      <c r="J37" s="8" t="str">
        <f>IF(OR(E37&lt;0,G37&gt;0),"!","")</f>
        <v/>
      </c>
      <c r="K37" s="405">
        <f t="shared" si="3"/>
        <v>0</v>
      </c>
      <c r="L37" s="405">
        <f t="shared" si="3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>IF(AND(H38="",OR(E38&lt;&gt;"",G38&lt;&gt;"")),"?","")</f>
        <v/>
      </c>
      <c r="J38" s="8" t="str">
        <f>IF(OR(E38&lt;0,G38&gt;0),"!","")</f>
        <v/>
      </c>
      <c r="K38" s="405">
        <f t="shared" si="3"/>
        <v>0</v>
      </c>
      <c r="L38" s="405">
        <f t="shared" si="3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>IF(AND(H39="",OR(E39&lt;&gt;"",G39&lt;&gt;"")),"?","")</f>
        <v/>
      </c>
      <c r="J39" s="8" t="str">
        <f>IF(OR(E39&lt;0,G39&gt;0),"!","")</f>
        <v/>
      </c>
      <c r="K39" s="405">
        <f t="shared" si="3"/>
        <v>0</v>
      </c>
      <c r="L39" s="405">
        <f t="shared" si="3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N39"/>
  <sheetViews>
    <sheetView showGridLines="0" zoomScale="83" workbookViewId="0">
      <pane ySplit="14" topLeftCell="A15" activePane="bottomLeft" state="frozen"/>
      <selection activeCell="A15" sqref="A15"/>
      <selection pane="bottomLeft" activeCell="A15" sqref="A15"/>
    </sheetView>
  </sheetViews>
  <sheetFormatPr baseColWidth="10" defaultColWidth="12.7109375" defaultRowHeight="12.75"/>
  <cols>
    <col min="1" max="1" width="13.7109375" style="2" customWidth="1"/>
    <col min="2" max="2" width="5.7109375" style="2" customWidth="1"/>
    <col min="3" max="3" width="70.7109375" style="82" customWidth="1"/>
    <col min="4" max="4" width="4.7109375" style="2" customWidth="1"/>
    <col min="5" max="5" width="10.7109375" style="2" customWidth="1"/>
    <col min="6" max="6" width="4.7109375" style="2" customWidth="1"/>
    <col min="7" max="7" width="10.7109375" style="2" customWidth="1"/>
    <col min="8" max="8" width="4.7109375" style="2" customWidth="1"/>
    <col min="9" max="10" width="1.7109375" style="2" customWidth="1"/>
    <col min="11" max="16384" width="12.7109375" style="2"/>
  </cols>
  <sheetData>
    <row r="1" spans="1:14" ht="26.25">
      <c r="A1" s="1" t="str">
        <f>CONCATENATE(Jan.!$A$2," Juli ",'Kat. I'!$A$2)</f>
        <v xml:space="preserve">Finanzübersicht (Erfolgsrechnung) Monat Juli </v>
      </c>
      <c r="B1" s="1"/>
      <c r="K1" s="1" t="str">
        <f>CONCATENATE(Jan.!$K$2," Juli ",'Kat. I'!$A$2)</f>
        <v xml:space="preserve"> Juli </v>
      </c>
    </row>
    <row r="2" spans="1:14">
      <c r="C2" s="83" t="s">
        <v>28</v>
      </c>
      <c r="M2" s="19"/>
      <c r="N2" s="19"/>
    </row>
    <row r="3" spans="1:14">
      <c r="A3" s="19" t="s">
        <v>113</v>
      </c>
      <c r="K3" s="3">
        <v>1</v>
      </c>
      <c r="L3" s="3">
        <v>2</v>
      </c>
      <c r="M3" s="3">
        <v>3</v>
      </c>
      <c r="N3" s="3">
        <v>4</v>
      </c>
    </row>
    <row r="4" spans="1:14" ht="15.75">
      <c r="A4" s="22" t="s">
        <v>42</v>
      </c>
      <c r="B4" s="22"/>
      <c r="C4" s="85"/>
      <c r="E4" s="12" t="s">
        <v>43</v>
      </c>
      <c r="F4" s="11"/>
      <c r="G4" s="11"/>
      <c r="K4" s="18" t="s">
        <v>44</v>
      </c>
      <c r="L4" s="18" t="s">
        <v>44</v>
      </c>
      <c r="M4" s="18" t="s">
        <v>44</v>
      </c>
      <c r="N4" s="18" t="s">
        <v>44</v>
      </c>
    </row>
    <row r="5" spans="1:14" ht="13.5" thickBot="1">
      <c r="K5" s="5">
        <f>Juni!K7</f>
        <v>1560.75</v>
      </c>
      <c r="L5" s="5">
        <f>Juni!L7</f>
        <v>-70</v>
      </c>
      <c r="M5" s="5">
        <f>Juni!M7</f>
        <v>0</v>
      </c>
      <c r="N5" s="5">
        <f>Juni!N7</f>
        <v>0</v>
      </c>
    </row>
    <row r="6" spans="1:14" ht="13.5" thickTop="1">
      <c r="A6" s="16">
        <f>Jan.!$A$6</f>
        <v>2000</v>
      </c>
      <c r="B6" s="75" t="str">
        <f>CONCATENATE(" Stand des Eigenkapitals am 1. Januar ",'Kat. I'!$A$2)</f>
        <v xml:space="preserve"> Stand des Eigenkapitals am 1. Januar </v>
      </c>
      <c r="C6" s="86"/>
      <c r="E6" s="6" t="s">
        <v>45</v>
      </c>
      <c r="G6" s="6" t="s">
        <v>45</v>
      </c>
      <c r="K6" s="6" t="s">
        <v>45</v>
      </c>
      <c r="L6" s="6" t="s">
        <v>45</v>
      </c>
      <c r="M6" s="6" t="s">
        <v>45</v>
      </c>
      <c r="N6" s="6" t="s">
        <v>45</v>
      </c>
    </row>
    <row r="7" spans="1:14" ht="13.5" thickBot="1">
      <c r="A7" s="13">
        <f>SUM($K$7:$IV$7)</f>
        <v>1490.75</v>
      </c>
      <c r="B7" s="76" t="s">
        <v>46</v>
      </c>
      <c r="C7" s="87"/>
      <c r="E7" s="7">
        <f ca="1">SUM(INDIRECT("E15:E16000"))</f>
        <v>0</v>
      </c>
      <c r="G7" s="7">
        <f ca="1">SUM(INDIRECT("G15:G16000"))</f>
        <v>0</v>
      </c>
      <c r="K7" s="7">
        <f>SUM(K15:K16000)+K5</f>
        <v>1560.75</v>
      </c>
      <c r="L7" s="7">
        <f>SUM(L15:L16000)+L5</f>
        <v>-70</v>
      </c>
      <c r="M7" s="7">
        <f>SUM(M15:M16000)+M5</f>
        <v>0</v>
      </c>
      <c r="N7" s="7">
        <f>SUM(N15:N16000)+N5</f>
        <v>0</v>
      </c>
    </row>
    <row r="8" spans="1:14" ht="13.5" thickTop="1">
      <c r="A8" s="14">
        <f>$A$7-Juni!$A$7</f>
        <v>0</v>
      </c>
      <c r="B8" s="76" t="s">
        <v>47</v>
      </c>
      <c r="C8" s="87"/>
      <c r="E8" s="4" t="s">
        <v>48</v>
      </c>
      <c r="G8" s="4" t="s">
        <v>48</v>
      </c>
      <c r="K8" s="17" t="s">
        <v>48</v>
      </c>
      <c r="L8" s="17" t="s">
        <v>48</v>
      </c>
      <c r="M8" s="17" t="s">
        <v>48</v>
      </c>
      <c r="N8" s="17" t="s">
        <v>48</v>
      </c>
    </row>
    <row r="9" spans="1:14" ht="13.5" thickBot="1">
      <c r="A9" s="15">
        <f>$A$7-$A$6</f>
        <v>-509.25</v>
      </c>
      <c r="B9" s="77" t="str">
        <f>CONCATENATE(" Veränderung seit 1. Januar ",'Kat. I'!$A$2)</f>
        <v xml:space="preserve"> Veränderung seit 1. Januar </v>
      </c>
      <c r="C9" s="88"/>
      <c r="E9" s="389"/>
      <c r="G9" s="389"/>
      <c r="J9" s="8" t="str">
        <f>IF(OR(E9&lt;0,G9&gt;0),"!","")</f>
        <v/>
      </c>
      <c r="K9" s="389"/>
      <c r="L9" s="389"/>
      <c r="M9" s="389"/>
      <c r="N9" s="389"/>
    </row>
    <row r="10" spans="1:14" ht="13.5" thickTop="1">
      <c r="E10" s="4" t="s">
        <v>49</v>
      </c>
      <c r="G10" s="4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</row>
    <row r="11" spans="1:14" ht="13.5" thickBot="1">
      <c r="E11" s="5" t="str">
        <f>IF(E9="","",E9-E7)</f>
        <v/>
      </c>
      <c r="G11" s="5" t="str">
        <f>IF(G9="","",G9-G7)</f>
        <v/>
      </c>
      <c r="K11" s="5" t="str">
        <f>IF(K9="","",K9-K7)</f>
        <v/>
      </c>
      <c r="L11" s="5" t="str">
        <f>IF(L9="","",L9-L7)</f>
        <v/>
      </c>
      <c r="M11" s="5" t="str">
        <f>IF(M9="","",M9-M7)</f>
        <v/>
      </c>
      <c r="N11" s="5" t="str">
        <f>IF(N9="","",N9-N7)</f>
        <v/>
      </c>
    </row>
    <row r="12" spans="1:14" ht="13.5" thickTop="1">
      <c r="K12" s="6" t="str">
        <f>IF(Juni!K12="","",Juni!K12)</f>
        <v>Kasse</v>
      </c>
      <c r="L12" s="6" t="str">
        <f>IF(Juni!L12="","",Juni!L12)</f>
        <v>Lohnkonto</v>
      </c>
      <c r="M12" s="6" t="str">
        <f>IF(Juni!M12="","",Juni!M12)</f>
        <v/>
      </c>
      <c r="N12" s="6" t="str">
        <f>IF(Juni!N12="","",Juni!N12)</f>
        <v/>
      </c>
    </row>
    <row r="13" spans="1:14" ht="0.95" customHeight="1" thickBot="1">
      <c r="K13" s="78"/>
      <c r="L13" s="78"/>
      <c r="M13" s="78"/>
      <c r="N13" s="78"/>
    </row>
    <row r="14" spans="1:14" ht="14.25" thickTop="1" thickBot="1">
      <c r="A14" s="9" t="s">
        <v>50</v>
      </c>
      <c r="B14" s="74" t="s">
        <v>59</v>
      </c>
      <c r="C14" s="89" t="s">
        <v>51</v>
      </c>
      <c r="D14" s="9" t="s">
        <v>24</v>
      </c>
      <c r="E14" s="10" t="s">
        <v>52</v>
      </c>
      <c r="F14" s="9" t="s">
        <v>24</v>
      </c>
      <c r="G14" s="10" t="s">
        <v>53</v>
      </c>
      <c r="H14" s="10" t="s">
        <v>64</v>
      </c>
      <c r="I14" s="124" t="s">
        <v>62</v>
      </c>
      <c r="J14" s="125" t="s">
        <v>63</v>
      </c>
      <c r="K14" s="20" t="str">
        <f>IF(Juni!K14="","",Juni!K14)</f>
        <v/>
      </c>
      <c r="L14" s="20" t="str">
        <f>IF(Juni!L14="","",Juni!L14)</f>
        <v/>
      </c>
      <c r="M14" s="20" t="str">
        <f>IF(Juni!M14="","",Juni!M14)</f>
        <v/>
      </c>
      <c r="N14" s="20" t="str">
        <f>IF(Juni!N14="","",Juni!N14)</f>
        <v/>
      </c>
    </row>
    <row r="15" spans="1:14" ht="13.5" thickTop="1">
      <c r="A15" s="390"/>
      <c r="B15" s="391"/>
      <c r="C15" s="392"/>
      <c r="D15" s="393"/>
      <c r="E15" s="394"/>
      <c r="F15" s="393"/>
      <c r="G15" s="394"/>
      <c r="H15" s="395"/>
      <c r="I15" s="216" t="str">
        <f>IF(AND(H15="",OR(E15&lt;&gt;"",G15&lt;&gt;"")),"?","")</f>
        <v/>
      </c>
      <c r="J15" s="8" t="str">
        <f>IF(OR(E15&lt;0,G15&gt;0),"!","")</f>
        <v/>
      </c>
      <c r="K15" s="404">
        <f t="shared" ref="K15:N22" si="0">IF($H15=K$3,$E15+$G15,0)</f>
        <v>0</v>
      </c>
      <c r="L15" s="404">
        <f t="shared" si="0"/>
        <v>0</v>
      </c>
      <c r="M15" s="404">
        <f t="shared" si="0"/>
        <v>0</v>
      </c>
      <c r="N15" s="404">
        <f t="shared" si="0"/>
        <v>0</v>
      </c>
    </row>
    <row r="16" spans="1:14">
      <c r="A16" s="396"/>
      <c r="B16" s="397"/>
      <c r="C16" s="398"/>
      <c r="D16" s="399"/>
      <c r="E16" s="400"/>
      <c r="F16" s="401"/>
      <c r="G16" s="402"/>
      <c r="H16" s="403"/>
      <c r="I16" s="216" t="str">
        <f>IF(AND(H16="",OR(E16&lt;&gt;"",G16&lt;&gt;"")),"?","")</f>
        <v/>
      </c>
      <c r="J16" s="8" t="str">
        <f>IF(OR(E16&lt;0,G16&gt;0),"!","")</f>
        <v/>
      </c>
      <c r="K16" s="405">
        <f t="shared" si="0"/>
        <v>0</v>
      </c>
      <c r="L16" s="405">
        <f t="shared" si="0"/>
        <v>0</v>
      </c>
      <c r="M16" s="405">
        <f t="shared" si="0"/>
        <v>0</v>
      </c>
      <c r="N16" s="405">
        <f t="shared" si="0"/>
        <v>0</v>
      </c>
    </row>
    <row r="17" spans="1:14">
      <c r="A17" s="396"/>
      <c r="B17" s="397"/>
      <c r="C17" s="398"/>
      <c r="D17" s="399"/>
      <c r="E17" s="400"/>
      <c r="F17" s="401"/>
      <c r="G17" s="402"/>
      <c r="H17" s="403"/>
      <c r="I17" s="216" t="str">
        <f t="shared" ref="I17:I30" si="1">IF(AND(H17="",OR(E17&lt;&gt;"",G17&lt;&gt;"")),"?","")</f>
        <v/>
      </c>
      <c r="J17" s="8" t="str">
        <f t="shared" ref="J17:J30" si="2">IF(OR(E17&lt;0,G17&gt;0),"!","")</f>
        <v/>
      </c>
      <c r="K17" s="405">
        <f t="shared" si="0"/>
        <v>0</v>
      </c>
      <c r="L17" s="405">
        <f t="shared" si="0"/>
        <v>0</v>
      </c>
      <c r="M17" s="405">
        <f t="shared" si="0"/>
        <v>0</v>
      </c>
      <c r="N17" s="405">
        <f t="shared" si="0"/>
        <v>0</v>
      </c>
    </row>
    <row r="18" spans="1:14">
      <c r="A18" s="396"/>
      <c r="B18" s="397"/>
      <c r="C18" s="398"/>
      <c r="D18" s="399"/>
      <c r="E18" s="400"/>
      <c r="F18" s="401"/>
      <c r="G18" s="402"/>
      <c r="H18" s="403"/>
      <c r="I18" s="216" t="str">
        <f t="shared" si="1"/>
        <v/>
      </c>
      <c r="J18" s="8" t="str">
        <f t="shared" si="2"/>
        <v/>
      </c>
      <c r="K18" s="405">
        <f t="shared" si="0"/>
        <v>0</v>
      </c>
      <c r="L18" s="405">
        <f t="shared" si="0"/>
        <v>0</v>
      </c>
      <c r="M18" s="405">
        <f t="shared" si="0"/>
        <v>0</v>
      </c>
      <c r="N18" s="405">
        <f t="shared" si="0"/>
        <v>0</v>
      </c>
    </row>
    <row r="19" spans="1:14">
      <c r="A19" s="396"/>
      <c r="B19" s="397"/>
      <c r="C19" s="398"/>
      <c r="D19" s="399"/>
      <c r="E19" s="400"/>
      <c r="F19" s="401"/>
      <c r="G19" s="402"/>
      <c r="H19" s="403"/>
      <c r="I19" s="216" t="str">
        <f t="shared" si="1"/>
        <v/>
      </c>
      <c r="J19" s="8" t="str">
        <f t="shared" si="2"/>
        <v/>
      </c>
      <c r="K19" s="405">
        <f t="shared" si="0"/>
        <v>0</v>
      </c>
      <c r="L19" s="405">
        <f t="shared" si="0"/>
        <v>0</v>
      </c>
      <c r="M19" s="405">
        <f t="shared" si="0"/>
        <v>0</v>
      </c>
      <c r="N19" s="405">
        <f t="shared" si="0"/>
        <v>0</v>
      </c>
    </row>
    <row r="20" spans="1:14">
      <c r="A20" s="396"/>
      <c r="B20" s="397"/>
      <c r="C20" s="398"/>
      <c r="D20" s="399"/>
      <c r="E20" s="400"/>
      <c r="F20" s="401"/>
      <c r="G20" s="402"/>
      <c r="H20" s="403"/>
      <c r="I20" s="216" t="str">
        <f t="shared" si="1"/>
        <v/>
      </c>
      <c r="J20" s="8" t="str">
        <f t="shared" si="2"/>
        <v/>
      </c>
      <c r="K20" s="405">
        <f t="shared" si="0"/>
        <v>0</v>
      </c>
      <c r="L20" s="405">
        <f t="shared" si="0"/>
        <v>0</v>
      </c>
      <c r="M20" s="405">
        <f t="shared" si="0"/>
        <v>0</v>
      </c>
      <c r="N20" s="405">
        <f t="shared" si="0"/>
        <v>0</v>
      </c>
    </row>
    <row r="21" spans="1:14">
      <c r="A21" s="396"/>
      <c r="B21" s="397"/>
      <c r="C21" s="398"/>
      <c r="D21" s="399"/>
      <c r="E21" s="400"/>
      <c r="F21" s="401"/>
      <c r="G21" s="402"/>
      <c r="H21" s="403"/>
      <c r="I21" s="216" t="str">
        <f t="shared" si="1"/>
        <v/>
      </c>
      <c r="J21" s="8" t="str">
        <f t="shared" si="2"/>
        <v/>
      </c>
      <c r="K21" s="405">
        <f t="shared" si="0"/>
        <v>0</v>
      </c>
      <c r="L21" s="405">
        <f t="shared" si="0"/>
        <v>0</v>
      </c>
      <c r="M21" s="405">
        <f t="shared" si="0"/>
        <v>0</v>
      </c>
      <c r="N21" s="405">
        <f t="shared" si="0"/>
        <v>0</v>
      </c>
    </row>
    <row r="22" spans="1:14">
      <c r="A22" s="396"/>
      <c r="B22" s="397"/>
      <c r="C22" s="398"/>
      <c r="D22" s="399"/>
      <c r="E22" s="400"/>
      <c r="F22" s="401"/>
      <c r="G22" s="402"/>
      <c r="H22" s="403"/>
      <c r="I22" s="216" t="str">
        <f t="shared" si="1"/>
        <v/>
      </c>
      <c r="J22" s="8" t="str">
        <f t="shared" si="2"/>
        <v/>
      </c>
      <c r="K22" s="405">
        <f t="shared" si="0"/>
        <v>0</v>
      </c>
      <c r="L22" s="405">
        <f t="shared" si="0"/>
        <v>0</v>
      </c>
      <c r="M22" s="405">
        <f t="shared" si="0"/>
        <v>0</v>
      </c>
      <c r="N22" s="405">
        <f t="shared" si="0"/>
        <v>0</v>
      </c>
    </row>
    <row r="23" spans="1:14">
      <c r="A23" s="396"/>
      <c r="B23" s="397"/>
      <c r="C23" s="398"/>
      <c r="D23" s="399"/>
      <c r="E23" s="400"/>
      <c r="F23" s="401"/>
      <c r="G23" s="402"/>
      <c r="H23" s="403"/>
      <c r="I23" s="216" t="str">
        <f t="shared" si="1"/>
        <v/>
      </c>
      <c r="J23" s="8" t="str">
        <f t="shared" si="2"/>
        <v/>
      </c>
      <c r="K23" s="405">
        <f t="shared" ref="K23:L39" si="3">IF($H23=K$3,$E23+$G23,0)</f>
        <v>0</v>
      </c>
      <c r="L23" s="405">
        <f t="shared" si="3"/>
        <v>0</v>
      </c>
      <c r="M23" s="405">
        <f t="shared" ref="M23:N39" si="4">IF($H23=M$3,$E23+$G23,0)</f>
        <v>0</v>
      </c>
      <c r="N23" s="405">
        <f t="shared" si="4"/>
        <v>0</v>
      </c>
    </row>
    <row r="24" spans="1:14">
      <c r="A24" s="396"/>
      <c r="B24" s="397"/>
      <c r="C24" s="398"/>
      <c r="D24" s="399"/>
      <c r="E24" s="400"/>
      <c r="F24" s="401"/>
      <c r="G24" s="402"/>
      <c r="H24" s="403"/>
      <c r="I24" s="216" t="str">
        <f t="shared" si="1"/>
        <v/>
      </c>
      <c r="J24" s="8" t="str">
        <f t="shared" si="2"/>
        <v/>
      </c>
      <c r="K24" s="405">
        <f t="shared" si="3"/>
        <v>0</v>
      </c>
      <c r="L24" s="405">
        <f t="shared" si="3"/>
        <v>0</v>
      </c>
      <c r="M24" s="405">
        <f t="shared" si="4"/>
        <v>0</v>
      </c>
      <c r="N24" s="405">
        <f t="shared" si="4"/>
        <v>0</v>
      </c>
    </row>
    <row r="25" spans="1:14">
      <c r="A25" s="396"/>
      <c r="B25" s="397"/>
      <c r="C25" s="398"/>
      <c r="D25" s="399"/>
      <c r="E25" s="400"/>
      <c r="F25" s="401"/>
      <c r="G25" s="402"/>
      <c r="H25" s="403"/>
      <c r="I25" s="216" t="str">
        <f t="shared" si="1"/>
        <v/>
      </c>
      <c r="J25" s="8" t="str">
        <f t="shared" si="2"/>
        <v/>
      </c>
      <c r="K25" s="405">
        <f t="shared" si="3"/>
        <v>0</v>
      </c>
      <c r="L25" s="405">
        <f t="shared" si="3"/>
        <v>0</v>
      </c>
      <c r="M25" s="405">
        <f t="shared" si="4"/>
        <v>0</v>
      </c>
      <c r="N25" s="405">
        <f t="shared" si="4"/>
        <v>0</v>
      </c>
    </row>
    <row r="26" spans="1:14">
      <c r="A26" s="396"/>
      <c r="B26" s="397"/>
      <c r="C26" s="398"/>
      <c r="D26" s="399"/>
      <c r="E26" s="400"/>
      <c r="F26" s="401"/>
      <c r="G26" s="402"/>
      <c r="H26" s="403"/>
      <c r="I26" s="216" t="str">
        <f t="shared" si="1"/>
        <v/>
      </c>
      <c r="J26" s="8" t="str">
        <f t="shared" si="2"/>
        <v/>
      </c>
      <c r="K26" s="405">
        <f t="shared" si="3"/>
        <v>0</v>
      </c>
      <c r="L26" s="405">
        <f t="shared" si="3"/>
        <v>0</v>
      </c>
      <c r="M26" s="405">
        <f t="shared" si="4"/>
        <v>0</v>
      </c>
      <c r="N26" s="405">
        <f t="shared" si="4"/>
        <v>0</v>
      </c>
    </row>
    <row r="27" spans="1:14">
      <c r="A27" s="396"/>
      <c r="B27" s="397"/>
      <c r="C27" s="398"/>
      <c r="D27" s="399"/>
      <c r="E27" s="400"/>
      <c r="F27" s="401"/>
      <c r="G27" s="402"/>
      <c r="H27" s="403"/>
      <c r="I27" s="216" t="str">
        <f t="shared" si="1"/>
        <v/>
      </c>
      <c r="J27" s="8" t="str">
        <f t="shared" si="2"/>
        <v/>
      </c>
      <c r="K27" s="405">
        <f t="shared" si="3"/>
        <v>0</v>
      </c>
      <c r="L27" s="405">
        <f t="shared" si="3"/>
        <v>0</v>
      </c>
      <c r="M27" s="405">
        <f t="shared" si="4"/>
        <v>0</v>
      </c>
      <c r="N27" s="405">
        <f t="shared" si="4"/>
        <v>0</v>
      </c>
    </row>
    <row r="28" spans="1:14">
      <c r="A28" s="396"/>
      <c r="B28" s="397"/>
      <c r="C28" s="398"/>
      <c r="D28" s="399"/>
      <c r="E28" s="400"/>
      <c r="F28" s="401"/>
      <c r="G28" s="402"/>
      <c r="H28" s="403"/>
      <c r="I28" s="216" t="str">
        <f t="shared" si="1"/>
        <v/>
      </c>
      <c r="J28" s="8" t="str">
        <f t="shared" si="2"/>
        <v/>
      </c>
      <c r="K28" s="405">
        <f t="shared" si="3"/>
        <v>0</v>
      </c>
      <c r="L28" s="405">
        <f t="shared" si="3"/>
        <v>0</v>
      </c>
      <c r="M28" s="405">
        <f t="shared" si="4"/>
        <v>0</v>
      </c>
      <c r="N28" s="405">
        <f t="shared" si="4"/>
        <v>0</v>
      </c>
    </row>
    <row r="29" spans="1:14">
      <c r="A29" s="396"/>
      <c r="B29" s="397"/>
      <c r="C29" s="398"/>
      <c r="D29" s="399"/>
      <c r="E29" s="400"/>
      <c r="F29" s="401"/>
      <c r="G29" s="402"/>
      <c r="H29" s="403"/>
      <c r="I29" s="216" t="str">
        <f t="shared" si="1"/>
        <v/>
      </c>
      <c r="J29" s="8" t="str">
        <f t="shared" si="2"/>
        <v/>
      </c>
      <c r="K29" s="405">
        <f t="shared" si="3"/>
        <v>0</v>
      </c>
      <c r="L29" s="405">
        <f t="shared" si="3"/>
        <v>0</v>
      </c>
      <c r="M29" s="405">
        <f t="shared" si="4"/>
        <v>0</v>
      </c>
      <c r="N29" s="405">
        <f t="shared" si="4"/>
        <v>0</v>
      </c>
    </row>
    <row r="30" spans="1:14">
      <c r="A30" s="396"/>
      <c r="B30" s="397"/>
      <c r="C30" s="398"/>
      <c r="D30" s="399"/>
      <c r="E30" s="400"/>
      <c r="F30" s="401"/>
      <c r="G30" s="402"/>
      <c r="H30" s="403"/>
      <c r="I30" s="216" t="str">
        <f t="shared" si="1"/>
        <v/>
      </c>
      <c r="J30" s="8" t="str">
        <f t="shared" si="2"/>
        <v/>
      </c>
      <c r="K30" s="405">
        <f t="shared" si="3"/>
        <v>0</v>
      </c>
      <c r="L30" s="405">
        <f t="shared" si="3"/>
        <v>0</v>
      </c>
      <c r="M30" s="405">
        <f t="shared" si="4"/>
        <v>0</v>
      </c>
      <c r="N30" s="405">
        <f t="shared" si="4"/>
        <v>0</v>
      </c>
    </row>
    <row r="31" spans="1:14">
      <c r="A31" s="396"/>
      <c r="B31" s="397"/>
      <c r="C31" s="398"/>
      <c r="D31" s="399"/>
      <c r="E31" s="400"/>
      <c r="F31" s="401"/>
      <c r="G31" s="402"/>
      <c r="H31" s="403"/>
      <c r="I31" s="216" t="str">
        <f t="shared" ref="I31:I39" si="5">IF(AND(H31="",OR(E31&lt;&gt;"",G31&lt;&gt;"")),"?","")</f>
        <v/>
      </c>
      <c r="J31" s="8" t="str">
        <f t="shared" ref="J31:J39" si="6">IF(OR(E31&lt;0,G31&gt;0),"!","")</f>
        <v/>
      </c>
      <c r="K31" s="405">
        <f t="shared" si="3"/>
        <v>0</v>
      </c>
      <c r="L31" s="405">
        <f t="shared" si="3"/>
        <v>0</v>
      </c>
      <c r="M31" s="405">
        <f t="shared" si="4"/>
        <v>0</v>
      </c>
      <c r="N31" s="405">
        <f t="shared" si="4"/>
        <v>0</v>
      </c>
    </row>
    <row r="32" spans="1:14">
      <c r="A32" s="396"/>
      <c r="B32" s="397"/>
      <c r="C32" s="398"/>
      <c r="D32" s="399"/>
      <c r="E32" s="400"/>
      <c r="F32" s="401"/>
      <c r="G32" s="402"/>
      <c r="H32" s="403"/>
      <c r="I32" s="216" t="str">
        <f t="shared" si="5"/>
        <v/>
      </c>
      <c r="J32" s="8" t="str">
        <f t="shared" si="6"/>
        <v/>
      </c>
      <c r="K32" s="405">
        <f t="shared" si="3"/>
        <v>0</v>
      </c>
      <c r="L32" s="405">
        <f t="shared" si="3"/>
        <v>0</v>
      </c>
      <c r="M32" s="405">
        <f t="shared" si="4"/>
        <v>0</v>
      </c>
      <c r="N32" s="405">
        <f t="shared" si="4"/>
        <v>0</v>
      </c>
    </row>
    <row r="33" spans="1:14">
      <c r="A33" s="396"/>
      <c r="B33" s="397"/>
      <c r="C33" s="398"/>
      <c r="D33" s="399"/>
      <c r="E33" s="400"/>
      <c r="F33" s="401"/>
      <c r="G33" s="402"/>
      <c r="H33" s="403"/>
      <c r="I33" s="216" t="str">
        <f t="shared" si="5"/>
        <v/>
      </c>
      <c r="J33" s="8" t="str">
        <f t="shared" si="6"/>
        <v/>
      </c>
      <c r="K33" s="405">
        <f t="shared" si="3"/>
        <v>0</v>
      </c>
      <c r="L33" s="405">
        <f t="shared" si="3"/>
        <v>0</v>
      </c>
      <c r="M33" s="405">
        <f t="shared" si="4"/>
        <v>0</v>
      </c>
      <c r="N33" s="405">
        <f t="shared" si="4"/>
        <v>0</v>
      </c>
    </row>
    <row r="34" spans="1:14">
      <c r="A34" s="396"/>
      <c r="B34" s="397"/>
      <c r="C34" s="398"/>
      <c r="D34" s="399"/>
      <c r="E34" s="400"/>
      <c r="F34" s="401"/>
      <c r="G34" s="402"/>
      <c r="H34" s="403"/>
      <c r="I34" s="216" t="str">
        <f t="shared" si="5"/>
        <v/>
      </c>
      <c r="J34" s="8" t="str">
        <f t="shared" si="6"/>
        <v/>
      </c>
      <c r="K34" s="405">
        <f t="shared" si="3"/>
        <v>0</v>
      </c>
      <c r="L34" s="405">
        <f t="shared" si="3"/>
        <v>0</v>
      </c>
      <c r="M34" s="405">
        <f t="shared" si="4"/>
        <v>0</v>
      </c>
      <c r="N34" s="405">
        <f t="shared" si="4"/>
        <v>0</v>
      </c>
    </row>
    <row r="35" spans="1:14">
      <c r="A35" s="396"/>
      <c r="B35" s="397"/>
      <c r="C35" s="398"/>
      <c r="D35" s="399"/>
      <c r="E35" s="400"/>
      <c r="F35" s="401"/>
      <c r="G35" s="402"/>
      <c r="H35" s="403"/>
      <c r="I35" s="216" t="str">
        <f t="shared" si="5"/>
        <v/>
      </c>
      <c r="J35" s="8" t="str">
        <f t="shared" si="6"/>
        <v/>
      </c>
      <c r="K35" s="405">
        <f t="shared" si="3"/>
        <v>0</v>
      </c>
      <c r="L35" s="405">
        <f t="shared" si="3"/>
        <v>0</v>
      </c>
      <c r="M35" s="405">
        <f t="shared" si="4"/>
        <v>0</v>
      </c>
      <c r="N35" s="405">
        <f t="shared" si="4"/>
        <v>0</v>
      </c>
    </row>
    <row r="36" spans="1:14">
      <c r="A36" s="396"/>
      <c r="B36" s="397"/>
      <c r="C36" s="398"/>
      <c r="D36" s="399"/>
      <c r="E36" s="400"/>
      <c r="F36" s="401"/>
      <c r="G36" s="402"/>
      <c r="H36" s="403"/>
      <c r="I36" s="216" t="str">
        <f t="shared" si="5"/>
        <v/>
      </c>
      <c r="J36" s="8" t="str">
        <f t="shared" si="6"/>
        <v/>
      </c>
      <c r="K36" s="405">
        <f t="shared" si="3"/>
        <v>0</v>
      </c>
      <c r="L36" s="405">
        <f t="shared" si="3"/>
        <v>0</v>
      </c>
      <c r="M36" s="405">
        <f t="shared" si="4"/>
        <v>0</v>
      </c>
      <c r="N36" s="405">
        <f t="shared" si="4"/>
        <v>0</v>
      </c>
    </row>
    <row r="37" spans="1:14">
      <c r="A37" s="396"/>
      <c r="B37" s="397"/>
      <c r="C37" s="398"/>
      <c r="D37" s="399"/>
      <c r="E37" s="400"/>
      <c r="F37" s="401"/>
      <c r="G37" s="402"/>
      <c r="H37" s="403"/>
      <c r="I37" s="216" t="str">
        <f t="shared" si="5"/>
        <v/>
      </c>
      <c r="J37" s="8" t="str">
        <f t="shared" si="6"/>
        <v/>
      </c>
      <c r="K37" s="405">
        <f t="shared" si="3"/>
        <v>0</v>
      </c>
      <c r="L37" s="405">
        <f t="shared" si="3"/>
        <v>0</v>
      </c>
      <c r="M37" s="405">
        <f t="shared" si="4"/>
        <v>0</v>
      </c>
      <c r="N37" s="405">
        <f t="shared" si="4"/>
        <v>0</v>
      </c>
    </row>
    <row r="38" spans="1:14">
      <c r="A38" s="396"/>
      <c r="B38" s="397"/>
      <c r="C38" s="398"/>
      <c r="D38" s="399"/>
      <c r="E38" s="400"/>
      <c r="F38" s="401"/>
      <c r="G38" s="402"/>
      <c r="H38" s="403"/>
      <c r="I38" s="216" t="str">
        <f t="shared" si="5"/>
        <v/>
      </c>
      <c r="J38" s="8" t="str">
        <f t="shared" si="6"/>
        <v/>
      </c>
      <c r="K38" s="405">
        <f t="shared" si="3"/>
        <v>0</v>
      </c>
      <c r="L38" s="405">
        <f t="shared" si="3"/>
        <v>0</v>
      </c>
      <c r="M38" s="405">
        <f t="shared" si="4"/>
        <v>0</v>
      </c>
      <c r="N38" s="405">
        <f t="shared" si="4"/>
        <v>0</v>
      </c>
    </row>
    <row r="39" spans="1:14">
      <c r="A39" s="396"/>
      <c r="B39" s="397"/>
      <c r="C39" s="398"/>
      <c r="D39" s="399"/>
      <c r="E39" s="400"/>
      <c r="F39" s="401"/>
      <c r="G39" s="402"/>
      <c r="H39" s="403"/>
      <c r="I39" s="216" t="str">
        <f t="shared" si="5"/>
        <v/>
      </c>
      <c r="J39" s="8" t="str">
        <f t="shared" si="6"/>
        <v/>
      </c>
      <c r="K39" s="405">
        <f t="shared" si="3"/>
        <v>0</v>
      </c>
      <c r="L39" s="405">
        <f t="shared" si="3"/>
        <v>0</v>
      </c>
      <c r="M39" s="405">
        <f t="shared" si="4"/>
        <v>0</v>
      </c>
      <c r="N39" s="405">
        <f t="shared" si="4"/>
        <v>0</v>
      </c>
    </row>
  </sheetData>
  <sheetProtection sheet="1" objects="1" scenarios="1"/>
  <phoneticPr fontId="11" type="noConversion"/>
  <printOptions horizontalCentered="1"/>
  <pageMargins left="0" right="0" top="0.59055118110236227" bottom="0.19685039370078741" header="0.51181102362204722" footer="0.51181102362204722"/>
  <pageSetup paperSize="9" scale="8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20</vt:i4>
      </vt:variant>
      <vt:variant>
        <vt:lpstr>Dialoge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27" baseType="lpstr">
      <vt:lpstr>Kat. I</vt:lpstr>
      <vt:lpstr>Kat. II</vt:lpstr>
      <vt:lpstr>Jan.</vt:lpstr>
      <vt:lpstr>Feb.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Auszug</vt:lpstr>
      <vt:lpstr>Statistik</vt:lpstr>
      <vt:lpstr>Bilanz</vt:lpstr>
      <vt:lpstr>Journal</vt:lpstr>
      <vt:lpstr>Trennung</vt:lpstr>
      <vt:lpstr>Steuerabschluss</vt:lpstr>
      <vt:lpstr>Dialog1</vt:lpstr>
      <vt:lpstr>Dialog2</vt:lpstr>
      <vt:lpstr>Dialog3</vt:lpstr>
      <vt:lpstr>'Kat. II'!Druckbereich</vt:lpstr>
      <vt:lpstr>Trennung!Druckbereich</vt:lpstr>
      <vt:lpstr>Journal!Drucktitel</vt:lpstr>
      <vt:lpstr>Auszug!Jahr</vt:lpstr>
    </vt:vector>
  </TitlesOfParts>
  <Company>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Schaffner</dc:creator>
  <cp:lastModifiedBy>privat</cp:lastModifiedBy>
  <cp:lastPrinted>2007-03-19T18:12:57Z</cp:lastPrinted>
  <dcterms:created xsi:type="dcterms:W3CDTF">1998-12-21T21:30:28Z</dcterms:created>
  <dcterms:modified xsi:type="dcterms:W3CDTF">2010-02-25T11:02:36Z</dcterms:modified>
</cp:coreProperties>
</file>